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worksheets/sheet2.xml" ContentType="application/vnd.openxmlformats-officedocument.spreadsheetml.work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chartsheets/sheet25.xml" ContentType="application/vnd.openxmlformats-officedocument.spreadsheetml.chartsheet+xml"/>
  <Override PartName="/xl/chartsheets/sheet26.xml" ContentType="application/vnd.openxmlformats-officedocument.spreadsheetml.chartsheet+xml"/>
  <Override PartName="/xl/chartsheets/sheet27.xml" ContentType="application/vnd.openxmlformats-officedocument.spreadsheetml.chartsheet+xml"/>
  <Override PartName="/xl/chartsheets/sheet28.xml" ContentType="application/vnd.openxmlformats-officedocument.spreadsheetml.chartsheet+xml"/>
  <Override PartName="/xl/chartsheets/sheet29.xml" ContentType="application/vnd.openxmlformats-officedocument.spreadsheetml.chartsheet+xml"/>
  <Override PartName="/xl/chartsheets/sheet30.xml" ContentType="application/vnd.openxmlformats-officedocument.spreadsheetml.chartsheet+xml"/>
  <Override PartName="/xl/chartsheets/sheet31.xml" ContentType="application/vnd.openxmlformats-officedocument.spreadsheetml.chartsheet+xml"/>
  <Override PartName="/xl/chartsheets/sheet32.xml" ContentType="application/vnd.openxmlformats-officedocument.spreadsheetml.chartsheet+xml"/>
  <Override PartName="/xl/chartsheets/sheet33.xml" ContentType="application/vnd.openxmlformats-officedocument.spreadsheetml.chartsheet+xml"/>
  <Override PartName="/xl/chartsheets/sheet34.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4.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5.xml" ContentType="application/vnd.openxmlformats-officedocument.themeOverrid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theme/themeOverride6.xml" ContentType="application/vnd.openxmlformats-officedocument.themeOverrid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theme/themeOverride7.xml" ContentType="application/vnd.openxmlformats-officedocument.themeOverride+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theme/themeOverride8.xml" ContentType="application/vnd.openxmlformats-officedocument.themeOverride+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theme/themeOverride9.xml" ContentType="application/vnd.openxmlformats-officedocument.themeOverride+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drawings/drawing49.xml" ContentType="application/vnd.openxmlformats-officedocument.drawing+xml"/>
  <Override PartName="/xl/charts/chart25.xml" ContentType="application/vnd.openxmlformats-officedocument.drawingml.chart+xml"/>
  <Override PartName="/xl/drawings/drawing50.xml" ContentType="application/vnd.openxmlformats-officedocument.drawingml.chartshapes+xml"/>
  <Override PartName="/xl/drawings/drawing51.xml" ContentType="application/vnd.openxmlformats-officedocument.drawing+xml"/>
  <Override PartName="/xl/charts/chart26.xml" ContentType="application/vnd.openxmlformats-officedocument.drawingml.chart+xml"/>
  <Override PartName="/xl/drawings/drawing52.xml" ContentType="application/vnd.openxmlformats-officedocument.drawingml.chartshapes+xml"/>
  <Override PartName="/xl/drawings/drawing53.xml" ContentType="application/vnd.openxmlformats-officedocument.drawing+xml"/>
  <Override PartName="/xl/charts/chart27.xml" ContentType="application/vnd.openxmlformats-officedocument.drawingml.chart+xml"/>
  <Override PartName="/xl/drawings/drawing54.xml" ContentType="application/vnd.openxmlformats-officedocument.drawingml.chartshapes+xml"/>
  <Override PartName="/xl/drawings/drawing55.xml" ContentType="application/vnd.openxmlformats-officedocument.drawing+xml"/>
  <Override PartName="/xl/charts/chart28.xml" ContentType="application/vnd.openxmlformats-officedocument.drawingml.chart+xml"/>
  <Override PartName="/xl/drawings/drawing56.xml" ContentType="application/vnd.openxmlformats-officedocument.drawingml.chartshapes+xml"/>
  <Override PartName="/xl/drawings/drawing57.xml" ContentType="application/vnd.openxmlformats-officedocument.drawing+xml"/>
  <Override PartName="/xl/charts/chart29.xml" ContentType="application/vnd.openxmlformats-officedocument.drawingml.chart+xml"/>
  <Override PartName="/xl/drawings/drawing58.xml" ContentType="application/vnd.openxmlformats-officedocument.drawingml.chartshapes+xml"/>
  <Override PartName="/xl/drawings/drawing59.xml" ContentType="application/vnd.openxmlformats-officedocument.drawing+xml"/>
  <Override PartName="/xl/charts/chart30.xml" ContentType="application/vnd.openxmlformats-officedocument.drawingml.chart+xml"/>
  <Override PartName="/xl/drawings/drawing60.xml" ContentType="application/vnd.openxmlformats-officedocument.drawingml.chartshapes+xml"/>
  <Override PartName="/xl/drawings/drawing61.xml" ContentType="application/vnd.openxmlformats-officedocument.drawing+xml"/>
  <Override PartName="/xl/charts/chart31.xml" ContentType="application/vnd.openxmlformats-officedocument.drawingml.chart+xml"/>
  <Override PartName="/xl/drawings/drawing62.xml" ContentType="application/vnd.openxmlformats-officedocument.drawingml.chartshapes+xml"/>
  <Override PartName="/xl/drawings/drawing63.xml" ContentType="application/vnd.openxmlformats-officedocument.drawing+xml"/>
  <Override PartName="/xl/charts/chart32.xml" ContentType="application/vnd.openxmlformats-officedocument.drawingml.chart+xml"/>
  <Override PartName="/xl/drawings/drawing64.xml" ContentType="application/vnd.openxmlformats-officedocument.drawingml.chartshapes+xml"/>
  <Override PartName="/xl/drawings/drawing65.xml" ContentType="application/vnd.openxmlformats-officedocument.drawing+xml"/>
  <Override PartName="/xl/charts/chart33.xml" ContentType="application/vnd.openxmlformats-officedocument.drawingml.chart+xml"/>
  <Override PartName="/xl/drawings/drawing66.xml" ContentType="application/vnd.openxmlformats-officedocument.drawingml.chartshapes+xml"/>
  <Override PartName="/xl/drawings/drawing67.xml" ContentType="application/vnd.openxmlformats-officedocument.drawing+xml"/>
  <Override PartName="/xl/charts/chart34.xml" ContentType="application/vnd.openxmlformats-officedocument.drawingml.chart+xml"/>
  <Override PartName="/xl/drawings/drawing6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t.piketty\Dropbox\Piketty2023CagePikDimConflitPolitique\ZEuropeennes\"/>
    </mc:Choice>
  </mc:AlternateContent>
  <bookViews>
    <workbookView xWindow="0" yWindow="0" windowWidth="23040" windowHeight="8772"/>
  </bookViews>
  <sheets>
    <sheet name="ReadMe" sheetId="2" r:id="rId1"/>
    <sheet name="G1" sheetId="11" r:id="rId2"/>
    <sheet name="G2" sheetId="9" r:id="rId3"/>
    <sheet name="G3" sheetId="28" r:id="rId4"/>
    <sheet name="G4" sheetId="29" r:id="rId5"/>
    <sheet name="G5" sheetId="30" r:id="rId6"/>
    <sheet name="G6" sheetId="31" r:id="rId7"/>
    <sheet name="G7" sheetId="32" r:id="rId8"/>
    <sheet name="G8" sheetId="33" r:id="rId9"/>
    <sheet name="G9" sheetId="3" r:id="rId10"/>
    <sheet name="G10" sheetId="6" r:id="rId11"/>
    <sheet name="G11" sheetId="8" r:id="rId12"/>
    <sheet name="T1" sheetId="1" r:id="rId13"/>
    <sheet name="G12" sheetId="60" r:id="rId14"/>
    <sheet name="G13" sheetId="61" r:id="rId15"/>
    <sheet name="G14" sheetId="62" r:id="rId16"/>
    <sheet name="G15" sheetId="63" r:id="rId17"/>
    <sheet name="G16" sheetId="64" r:id="rId18"/>
    <sheet name="G17" sheetId="65" r:id="rId19"/>
    <sheet name="G18" sheetId="66" r:id="rId20"/>
    <sheet name="G19" sheetId="41" r:id="rId21"/>
    <sheet name="G20" sheetId="42" r:id="rId22"/>
    <sheet name="G21" sheetId="43" r:id="rId23"/>
    <sheet name="G22" sheetId="44" r:id="rId24"/>
    <sheet name="G23" sheetId="83" r:id="rId25"/>
    <sheet name="G24" sheetId="68" r:id="rId26"/>
    <sheet name="G25" sheetId="69" r:id="rId27"/>
    <sheet name="G26" sheetId="70" r:id="rId28"/>
    <sheet name="G27" sheetId="79" r:id="rId29"/>
    <sheet name="G28" sheetId="80" r:id="rId30"/>
    <sheet name="G29" sheetId="73" r:id="rId31"/>
    <sheet name="G30" sheetId="81" r:id="rId32"/>
    <sheet name="G31" sheetId="82" r:id="rId33"/>
    <sheet name="G32" sheetId="76" r:id="rId34"/>
    <sheet name="G33" sheetId="77" r:id="rId35"/>
    <sheet name="G34" sheetId="78" r:id="rId36"/>
    <sheet name="Data1" sheetId="10" r:id="rId37"/>
    <sheet name="Data2" sheetId="4" r:id="rId38"/>
    <sheet name="DataB1" sheetId="67" r:id="rId39"/>
  </sheets>
  <externalReferences>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definedNames>
    <definedName name="__ISC01">[1]Q_ISC1!$1:$12</definedName>
    <definedName name="__ISC2">[2]Q_ISC2!$1:$18</definedName>
    <definedName name="__ISC3">[3]ISC01!$B:$B+[4]Q_ISC3!$1:$23</definedName>
    <definedName name="__ISC567">[5]Q_ISC567!$1:$23</definedName>
    <definedName name="_10000" localSheetId="36">[6]Регион!#REF!</definedName>
    <definedName name="_10000" localSheetId="38">[6]Регион!#REF!</definedName>
    <definedName name="_10000">[6]Регион!#REF!</definedName>
    <definedName name="_1080" localSheetId="36">[7]Регион!#REF!</definedName>
    <definedName name="_1080" localSheetId="38">[7]Регион!#REF!</definedName>
    <definedName name="_1080">[7]Регион!#REF!</definedName>
    <definedName name="_1090" localSheetId="36">[7]Регион!#REF!</definedName>
    <definedName name="_1090" localSheetId="38">[7]Регион!#REF!</definedName>
    <definedName name="_1090">[7]Регион!#REF!</definedName>
    <definedName name="_1100" localSheetId="36">[7]Регион!#REF!</definedName>
    <definedName name="_1100" localSheetId="38">[7]Регион!#REF!</definedName>
    <definedName name="_1100">[7]Регион!#REF!</definedName>
    <definedName name="_1110" localSheetId="36">[7]Регион!#REF!</definedName>
    <definedName name="_1110" localSheetId="38">[7]Регион!#REF!</definedName>
    <definedName name="_1110">[7]Регион!#REF!</definedName>
    <definedName name="_2" localSheetId="36">[6]Регион!#REF!</definedName>
    <definedName name="_2" localSheetId="38">[6]Регион!#REF!</definedName>
    <definedName name="_2">[6]Регион!#REF!</definedName>
    <definedName name="_2010" localSheetId="36">#REF!</definedName>
    <definedName name="_2010" localSheetId="38">#REF!</definedName>
    <definedName name="_2010">#REF!</definedName>
    <definedName name="_2080" localSheetId="36">[7]Регион!#REF!</definedName>
    <definedName name="_2080" localSheetId="38">[7]Регион!#REF!</definedName>
    <definedName name="_2080">[7]Регион!#REF!</definedName>
    <definedName name="_2090" localSheetId="36">[7]Регион!#REF!</definedName>
    <definedName name="_2090" localSheetId="38">[7]Регион!#REF!</definedName>
    <definedName name="_2090">[7]Регион!#REF!</definedName>
    <definedName name="_2100" localSheetId="36">[7]Регион!#REF!</definedName>
    <definedName name="_2100" localSheetId="38">[7]Регион!#REF!</definedName>
    <definedName name="_2100">[7]Регион!#REF!</definedName>
    <definedName name="_2110" localSheetId="36">[7]Регион!#REF!</definedName>
    <definedName name="_2110" localSheetId="38">[7]Регион!#REF!</definedName>
    <definedName name="_2110">[7]Регион!#REF!</definedName>
    <definedName name="_3080" localSheetId="36">[7]Регион!#REF!</definedName>
    <definedName name="_3080" localSheetId="38">[7]Регион!#REF!</definedName>
    <definedName name="_3080">[7]Регион!#REF!</definedName>
    <definedName name="_3090" localSheetId="36">[7]Регион!#REF!</definedName>
    <definedName name="_3090" localSheetId="38">[7]Регион!#REF!</definedName>
    <definedName name="_3090">[7]Регион!#REF!</definedName>
    <definedName name="_3100" localSheetId="36">[7]Регион!#REF!</definedName>
    <definedName name="_3100" localSheetId="38">[7]Регион!#REF!</definedName>
    <definedName name="_3100">[7]Регион!#REF!</definedName>
    <definedName name="_3110" localSheetId="36">[7]Регион!#REF!</definedName>
    <definedName name="_3110" localSheetId="38">[7]Регион!#REF!</definedName>
    <definedName name="_3110">[7]Регион!#REF!</definedName>
    <definedName name="_4080" localSheetId="36">[7]Регион!#REF!</definedName>
    <definedName name="_4080" localSheetId="38">[7]Регион!#REF!</definedName>
    <definedName name="_4080">[7]Регион!#REF!</definedName>
    <definedName name="_4090" localSheetId="36">[7]Регион!#REF!</definedName>
    <definedName name="_4090" localSheetId="38">[7]Регион!#REF!</definedName>
    <definedName name="_4090">[7]Регион!#REF!</definedName>
    <definedName name="_4100" localSheetId="36">[7]Регион!#REF!</definedName>
    <definedName name="_4100" localSheetId="38">[7]Регион!#REF!</definedName>
    <definedName name="_4100">[7]Регион!#REF!</definedName>
    <definedName name="_4110" localSheetId="36">[7]Регион!#REF!</definedName>
    <definedName name="_4110" localSheetId="38">[7]Регион!#REF!</definedName>
    <definedName name="_4110">[7]Регион!#REF!</definedName>
    <definedName name="_5080" localSheetId="36">[7]Регион!#REF!</definedName>
    <definedName name="_5080" localSheetId="38">[7]Регион!#REF!</definedName>
    <definedName name="_5080">[7]Регион!#REF!</definedName>
    <definedName name="_5090" localSheetId="36">[7]Регион!#REF!</definedName>
    <definedName name="_5090" localSheetId="38">[7]Регион!#REF!</definedName>
    <definedName name="_5090">[7]Регион!#REF!</definedName>
    <definedName name="_5100" localSheetId="36">[7]Регион!#REF!</definedName>
    <definedName name="_5100" localSheetId="38">[7]Регион!#REF!</definedName>
    <definedName name="_5100">[7]Регион!#REF!</definedName>
    <definedName name="_5110" localSheetId="36">[7]Регион!#REF!</definedName>
    <definedName name="_5110" localSheetId="38">[7]Регион!#REF!</definedName>
    <definedName name="_5110">[7]Регион!#REF!</definedName>
    <definedName name="_6080" localSheetId="36">[7]Регион!#REF!</definedName>
    <definedName name="_6080" localSheetId="38">[7]Регион!#REF!</definedName>
    <definedName name="_6080">[7]Регион!#REF!</definedName>
    <definedName name="_6090" localSheetId="36">[7]Регион!#REF!</definedName>
    <definedName name="_6090" localSheetId="38">[7]Регион!#REF!</definedName>
    <definedName name="_6090">[7]Регион!#REF!</definedName>
    <definedName name="_6100" localSheetId="36">[7]Регион!#REF!</definedName>
    <definedName name="_6100" localSheetId="38">[7]Регион!#REF!</definedName>
    <definedName name="_6100">[7]Регион!#REF!</definedName>
    <definedName name="_6110" localSheetId="36">[7]Регион!#REF!</definedName>
    <definedName name="_6110" localSheetId="38">[7]Регион!#REF!</definedName>
    <definedName name="_6110">[7]Регион!#REF!</definedName>
    <definedName name="_7031_1" localSheetId="36">[7]Регион!#REF!</definedName>
    <definedName name="_7031_1" localSheetId="38">[7]Регион!#REF!</definedName>
    <definedName name="_7031_1">[7]Регион!#REF!</definedName>
    <definedName name="_7031_2" localSheetId="36">[7]Регион!#REF!</definedName>
    <definedName name="_7031_2" localSheetId="38">[7]Регион!#REF!</definedName>
    <definedName name="_7031_2">[7]Регион!#REF!</definedName>
    <definedName name="_7032_1" localSheetId="36">[7]Регион!#REF!</definedName>
    <definedName name="_7032_1" localSheetId="38">[7]Регион!#REF!</definedName>
    <definedName name="_7032_1">[7]Регион!#REF!</definedName>
    <definedName name="_7032_2" localSheetId="36">[7]Регион!#REF!</definedName>
    <definedName name="_7032_2" localSheetId="38">[7]Регион!#REF!</definedName>
    <definedName name="_7032_2">[7]Регион!#REF!</definedName>
    <definedName name="_7033_1" localSheetId="36">[7]Регион!#REF!</definedName>
    <definedName name="_7033_1" localSheetId="38">[7]Регион!#REF!</definedName>
    <definedName name="_7033_1">[7]Регион!#REF!</definedName>
    <definedName name="_7033_2" localSheetId="36">[7]Регион!#REF!</definedName>
    <definedName name="_7033_2" localSheetId="38">[7]Регион!#REF!</definedName>
    <definedName name="_7033_2">[7]Регион!#REF!</definedName>
    <definedName name="_7034_1" localSheetId="36">[7]Регион!#REF!</definedName>
    <definedName name="_7034_1" localSheetId="38">[7]Регион!#REF!</definedName>
    <definedName name="_7034_1">[7]Регион!#REF!</definedName>
    <definedName name="_7034_2" localSheetId="36">[7]Регион!#REF!</definedName>
    <definedName name="_7034_2" localSheetId="38">[7]Регион!#REF!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_TAB1">'[8]C4.4'!$A$6:$G$25</definedName>
    <definedName name="Acurrent" localSheetId="36">#REF!</definedName>
    <definedName name="Acurrent" localSheetId="38">#REF!</definedName>
    <definedName name="Acurrent">#REF!</definedName>
    <definedName name="adjustments_to_BO_according_to_CdG2000" localSheetId="36">#REF!</definedName>
    <definedName name="adjustments_to_BO_according_to_CdG2000" localSheetId="38">#REF!</definedName>
    <definedName name="adjustments_to_BO_according_to_CdG2000">#REF!</definedName>
    <definedName name="body">#REF!</definedName>
    <definedName name="calcul">'[9]Calcul_B1.1'!$A$1:$L$37</definedName>
    <definedName name="calcul1">'[10]Calcul_B1.1'!$A$1:$L$37</definedName>
    <definedName name="CdG_consolidé___volume_4__page_19___Commission" localSheetId="36">#REF!</definedName>
    <definedName name="CdG_consolidé___volume_4__page_19___Commission" localSheetId="38">#REF!</definedName>
    <definedName name="CdG_consolidé___volume_4__page_19___Commission">#REF!</definedName>
    <definedName name="column_head" localSheetId="36">#REF!</definedName>
    <definedName name="column_head" localSheetId="38">#REF!</definedName>
    <definedName name="column_head">#REF!</definedName>
    <definedName name="column_headings" localSheetId="36">#REF!</definedName>
    <definedName name="column_headings" localSheetId="38">#REF!</definedName>
    <definedName name="column_headings">#REF!</definedName>
    <definedName name="column_numbers" localSheetId="36">#REF!</definedName>
    <definedName name="column_numbers" localSheetId="38">#REF!</definedName>
    <definedName name="column_numbers">#REF!</definedName>
    <definedName name="comments_on_B21" localSheetId="36">#REF!</definedName>
    <definedName name="comments_on_B21" localSheetId="38">#REF!</definedName>
    <definedName name="comments_on_B21">#REF!</definedName>
    <definedName name="Compte_de_gestion_2000_C.02__Theo_Mestrom_s_file_25062001" localSheetId="36">#REF!</definedName>
    <definedName name="Compte_de_gestion_2000_C.02__Theo_Mestrom_s_file_25062001" localSheetId="38">#REF!</definedName>
    <definedName name="Compte_de_gestion_2000_C.02__Theo_Mestrom_s_file_25062001">#REF!</definedName>
    <definedName name="council" localSheetId="36">#REF!</definedName>
    <definedName name="council" localSheetId="38">#REF!</definedName>
    <definedName name="council">#REF!</definedName>
    <definedName name="countries">#REF!</definedName>
    <definedName name="Country">[11]Countries!$A$1:$C$53</definedName>
    <definedName name="court_of_auditors" localSheetId="36">#REF!</definedName>
    <definedName name="court_of_auditors" localSheetId="38">#REF!</definedName>
    <definedName name="court_of_auditors">#REF!</definedName>
    <definedName name="court_of_jusitce" localSheetId="36">#REF!</definedName>
    <definedName name="court_of_jusitce" localSheetId="38">#REF!</definedName>
    <definedName name="court_of_jusitce">#REF!</definedName>
    <definedName name="data" localSheetId="36">#REF!</definedName>
    <definedName name="data" localSheetId="38">#REF!</definedName>
    <definedName name="data">#REF!</definedName>
    <definedName name="data2" localSheetId="36">#REF!</definedName>
    <definedName name="data2" localSheetId="38">#REF!</definedName>
    <definedName name="data2">#REF!</definedName>
    <definedName name="DEL1_96">#N/A</definedName>
    <definedName name="Diag" localSheetId="36">#REF!,#REF!</definedName>
    <definedName name="Diag" localSheetId="38">#REF!,#REF!</definedName>
    <definedName name="Diag">#REF!,#REF!</definedName>
    <definedName name="donnee">#REF!,#REF!</definedName>
    <definedName name="DUBA96">#N/A</definedName>
    <definedName name="DUBEA96">#N/A</definedName>
    <definedName name="DUCEL96">#N/A</definedName>
    <definedName name="DZRCEL96">#N/A</definedName>
    <definedName name="ea_flux" localSheetId="36">#REF!</definedName>
    <definedName name="ea_flux" localSheetId="38">#REF!</definedName>
    <definedName name="ea_flux">#REF!</definedName>
    <definedName name="Equilibre" localSheetId="36">#REF!</definedName>
    <definedName name="Equilibre" localSheetId="38">#REF!</definedName>
    <definedName name="Equilibre">#REF!</definedName>
    <definedName name="european_parliament" localSheetId="36">#REF!</definedName>
    <definedName name="european_parliament" localSheetId="38">#REF!</definedName>
    <definedName name="european_parliament">#REF!</definedName>
    <definedName name="f1_time">[12]F1_TIME!$A$1:$D$31</definedName>
    <definedName name="females">'[13]rba table'!$I$10:$I$49</definedName>
    <definedName name="fg_567">[14]FG_567!$A$1:$AC$30</definedName>
    <definedName name="FG_ISC123">[15]FG_123!$A$1:$AZ$45</definedName>
    <definedName name="FG_ISC567">[14]FG_567!$A$1:$AZ$45</definedName>
    <definedName name="fig4b" localSheetId="36">#REF!</definedName>
    <definedName name="fig4b" localSheetId="38">#REF!</definedName>
    <definedName name="fig4b">#REF!</definedName>
    <definedName name="fmtr" localSheetId="36">#REF!</definedName>
    <definedName name="fmtr" localSheetId="38">#REF!</definedName>
    <definedName name="fmtr">#REF!</definedName>
    <definedName name="footno" localSheetId="36">#REF!</definedName>
    <definedName name="footno" localSheetId="38">#REF!</definedName>
    <definedName name="footno">#REF!</definedName>
    <definedName name="footnotes" localSheetId="36">#REF!</definedName>
    <definedName name="footnotes" localSheetId="38">#REF!</definedName>
    <definedName name="footnotes">#REF!</definedName>
    <definedName name="footnotes2" localSheetId="36">#REF!</definedName>
    <definedName name="footnotes2" localSheetId="38">#REF!</definedName>
    <definedName name="footnotes2">#REF!</definedName>
    <definedName name="GEOG9703" localSheetId="36">#REF!</definedName>
    <definedName name="GEOG9703" localSheetId="38">#REF!</definedName>
    <definedName name="GEOG9703">#REF!</definedName>
    <definedName name="heading_A" localSheetId="36">#REF!</definedName>
    <definedName name="heading_A" localSheetId="38">#REF!</definedName>
    <definedName name="heading_A">#REF!</definedName>
    <definedName name="headings_current_partB" localSheetId="36">#REF!</definedName>
    <definedName name="headings_current_partB" localSheetId="38">#REF!</definedName>
    <definedName name="headings_current_partB">#REF!</definedName>
    <definedName name="HTML_CodePage" hidden="1">1252</definedName>
    <definedName name="HTML_Control" localSheetId="36" hidden="1">{"'swa xoffs'!$A$4:$Q$37"}</definedName>
    <definedName name="HTML_Control" localSheetId="38"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[16]F1_ALL!$A$1:$AZ$50</definedName>
    <definedName name="indf11">[17]F11_ALL!$A$1:$AZ$15</definedName>
    <definedName name="indf11_94">[18]F11_A94!$A$1:$AE$15</definedName>
    <definedName name="INDF12">[19]F12_ALL!$A$1:$AJ$25</definedName>
    <definedName name="INDF13">[20]F13_ALL!$A$1:$AH$10</definedName>
    <definedName name="INPUT">[21]OUTPUT!$A$1:$E$65536</definedName>
    <definedName name="international_fund_for_Ireland" localSheetId="36">#REF!</definedName>
    <definedName name="international_fund_for_Ireland" localSheetId="38">#REF!</definedName>
    <definedName name="international_fund_for_Ireland">#REF!</definedName>
    <definedName name="ISO">[22]Results!$B$9</definedName>
    <definedName name="LANGUAGES" localSheetId="36">#REF!</definedName>
    <definedName name="LANGUAGES" localSheetId="38">#REF!</definedName>
    <definedName name="LANGUAGES">#REF!</definedName>
    <definedName name="males">'[13]rba table'!$C$10:$C$49</definedName>
    <definedName name="Measure">[22]Results!$B$11</definedName>
    <definedName name="NAZEV">#N/A</definedName>
    <definedName name="NEZAM96">#N/A</definedName>
    <definedName name="nomenclature_FRENCH" localSheetId="36">#REF!</definedName>
    <definedName name="nomenclature_FRENCH" localSheetId="38">#REF!</definedName>
    <definedName name="nomenclature_FRENCH">#REF!</definedName>
    <definedName name="note">#REF!</definedName>
    <definedName name="p5_age">[23]p5_ageISC5a!$A$1:$D$55</definedName>
    <definedName name="p5nr">[24]P5nr_2!$A$1:$AC$43</definedName>
    <definedName name="PIB" localSheetId="36">#REF!</definedName>
    <definedName name="PIB" localSheetId="38">#REF!</definedName>
    <definedName name="PIB">#REF!</definedName>
    <definedName name="POpula">[25]POpula!$A$1:$I$1559</definedName>
    <definedName name="popula1">[25]POpula!$A$1:$I$1559</definedName>
    <definedName name="Print_Area" localSheetId="36">#REF!</definedName>
    <definedName name="Print_Area" localSheetId="38">#REF!</definedName>
    <definedName name="Print_Area">#REF!</definedName>
    <definedName name="ref_B1" localSheetId="36">#REF!</definedName>
    <definedName name="ref_B1" localSheetId="38">#REF!</definedName>
    <definedName name="ref_B1">#REF!</definedName>
    <definedName name="ref_Cohesion_Fund" localSheetId="36">#REF!</definedName>
    <definedName name="ref_Cohesion_Fund" localSheetId="38">#REF!</definedName>
    <definedName name="ref_Cohesion_Fund">#REF!</definedName>
    <definedName name="ref_Council" localSheetId="36">#REF!</definedName>
    <definedName name="ref_Council" localSheetId="38">#REF!</definedName>
    <definedName name="ref_Council">#REF!</definedName>
    <definedName name="ref_Court_Justice" localSheetId="36">#REF!</definedName>
    <definedName name="ref_Court_Justice" localSheetId="38">#REF!</definedName>
    <definedName name="ref_Court_Justice">#REF!</definedName>
    <definedName name="ref_DG_ADMIN_BXL" localSheetId="36">#REF!</definedName>
    <definedName name="ref_DG_ADMIN_BXL" localSheetId="38">#REF!</definedName>
    <definedName name="ref_DG_ADMIN_BXL">#REF!</definedName>
    <definedName name="ref_DG_ADMIN_LUX" localSheetId="36">#REF!</definedName>
    <definedName name="ref_DG_ADMIN_LUX" localSheetId="38">#REF!</definedName>
    <definedName name="ref_DG_ADMIN_LUX">#REF!</definedName>
    <definedName name="ref_DG_AGRI" localSheetId="36">#REF!</definedName>
    <definedName name="ref_DG_AGRI" localSheetId="38">#REF!</definedName>
    <definedName name="ref_DG_AGRI">#REF!</definedName>
    <definedName name="ref_DG_EAC" localSheetId="36">#REF!</definedName>
    <definedName name="ref_DG_EAC" localSheetId="38">#REF!</definedName>
    <definedName name="ref_DG_EAC">#REF!</definedName>
    <definedName name="ref_DG_ECFIN" localSheetId="36">#REF!</definedName>
    <definedName name="ref_DG_ECFIN" localSheetId="38">#REF!</definedName>
    <definedName name="ref_DG_ECFIN">#REF!</definedName>
    <definedName name="ref_DG_ENTR" localSheetId="36">#REF!</definedName>
    <definedName name="ref_DG_ENTR" localSheetId="38">#REF!</definedName>
    <definedName name="ref_DG_ENTR">#REF!</definedName>
    <definedName name="ref_DG_ENTR_Cenelex_berthon" localSheetId="36">#REF!</definedName>
    <definedName name="ref_DG_ENTR_Cenelex_berthon" localSheetId="38">#REF!</definedName>
    <definedName name="ref_DG_ENTR_Cenelex_berthon">#REF!</definedName>
    <definedName name="ref_DG_FISH" localSheetId="36">#REF!</definedName>
    <definedName name="ref_DG_FISH" localSheetId="38">#REF!</definedName>
    <definedName name="ref_DG_FISH">#REF!</definedName>
    <definedName name="ref_DG_INFSO" localSheetId="36">#REF!</definedName>
    <definedName name="ref_DG_INFSO" localSheetId="38">#REF!</definedName>
    <definedName name="ref_DG_INFSO">#REF!</definedName>
    <definedName name="ref_DG_Relex" localSheetId="36">#REF!</definedName>
    <definedName name="ref_DG_Relex" localSheetId="38">#REF!</definedName>
    <definedName name="ref_DG_Relex">#REF!</definedName>
    <definedName name="ref_DG_RTD" localSheetId="36">#REF!</definedName>
    <definedName name="ref_DG_RTD" localSheetId="38">#REF!</definedName>
    <definedName name="ref_DG_RTD">#REF!</definedName>
    <definedName name="ref_DG_TREN" localSheetId="36">#REF!</definedName>
    <definedName name="ref_DG_TREN" localSheetId="38">#REF!</definedName>
    <definedName name="ref_DG_TREN">#REF!</definedName>
    <definedName name="ref_dubus" localSheetId="36">#REF!</definedName>
    <definedName name="ref_dubus" localSheetId="38">#REF!</definedName>
    <definedName name="ref_dubus">#REF!</definedName>
    <definedName name="ref_Eur_Parlament" localSheetId="36">#REF!</definedName>
    <definedName name="ref_Eur_Parlament" localSheetId="38">#REF!</definedName>
    <definedName name="ref_Eur_Parlament">#REF!</definedName>
    <definedName name="ref_JRC_ISPRA" localSheetId="36">#REF!</definedName>
    <definedName name="ref_JRC_ISPRA" localSheetId="38">#REF!</definedName>
    <definedName name="ref_JRC_ISPRA">#REF!</definedName>
    <definedName name="ref_OPOCE" localSheetId="36">#REF!</definedName>
    <definedName name="ref_OPOCE" localSheetId="38">#REF!</definedName>
    <definedName name="ref_OPOCE">#REF!</definedName>
    <definedName name="ref_structural_funds" localSheetId="36">#REF!</definedName>
    <definedName name="ref_structural_funds" localSheetId="38">#REF!</definedName>
    <definedName name="ref_structural_funds">#REF!</definedName>
    <definedName name="ref_TOTAL_RTD" localSheetId="36">#REF!</definedName>
    <definedName name="ref_TOTAL_RTD" localSheetId="38">#REF!</definedName>
    <definedName name="ref_TOTAL_RTD">#REF!</definedName>
    <definedName name="Rentflag">IF([26]Comparison!$B$7,"","not ")</definedName>
    <definedName name="ressources" localSheetId="36">#REF!</definedName>
    <definedName name="ressources" localSheetId="38">#REF!</definedName>
    <definedName name="ressources">#REF!</definedName>
    <definedName name="rpflux" localSheetId="36">#REF!</definedName>
    <definedName name="rpflux" localSheetId="38">#REF!</definedName>
    <definedName name="rpflux">#REF!</definedName>
    <definedName name="rptof" localSheetId="36">#REF!</definedName>
    <definedName name="rptof" localSheetId="38">#REF!</definedName>
    <definedName name="rptof">#REF!</definedName>
    <definedName name="rq" localSheetId="36">#REF!</definedName>
    <definedName name="rq" localSheetId="38">#REF!</definedName>
    <definedName name="rq">#REF!</definedName>
    <definedName name="shift">[27]Data_Shifted!$I$1</definedName>
    <definedName name="source">#REF!</definedName>
    <definedName name="spanners_level1" localSheetId="36">#REF!</definedName>
    <definedName name="spanners_level1" localSheetId="38">#REF!</definedName>
    <definedName name="spanners_level1">#REF!</definedName>
    <definedName name="spanners_level2" localSheetId="36">#REF!</definedName>
    <definedName name="spanners_level2" localSheetId="38">#REF!</definedName>
    <definedName name="spanners_level2">#REF!</definedName>
    <definedName name="spanners_level3" localSheetId="36">#REF!</definedName>
    <definedName name="spanners_level3" localSheetId="38">#REF!</definedName>
    <definedName name="spanners_level3">#REF!</definedName>
    <definedName name="spanners_level4" localSheetId="36">#REF!</definedName>
    <definedName name="spanners_level4" localSheetId="38">#REF!</definedName>
    <definedName name="spanners_level4">#REF!</definedName>
    <definedName name="spanners_level5" localSheetId="36">#REF!</definedName>
    <definedName name="spanners_level5" localSheetId="38">#REF!</definedName>
    <definedName name="spanners_level5">#REF!</definedName>
    <definedName name="spanners_levelV" localSheetId="36">#REF!</definedName>
    <definedName name="spanners_levelV" localSheetId="38">#REF!</definedName>
    <definedName name="spanners_levelV">#REF!</definedName>
    <definedName name="spanners_levelX" localSheetId="36">#REF!</definedName>
    <definedName name="spanners_levelX" localSheetId="38">#REF!</definedName>
    <definedName name="spanners_levelX">#REF!</definedName>
    <definedName name="spanners_levelY" localSheetId="36">#REF!</definedName>
    <definedName name="spanners_levelY" localSheetId="38">#REF!</definedName>
    <definedName name="spanners_levelY">#REF!</definedName>
    <definedName name="spanners_levelZ" localSheetId="36">#REF!</definedName>
    <definedName name="spanners_levelZ" localSheetId="38">#REF!</definedName>
    <definedName name="spanners_levelZ">#REF!</definedName>
    <definedName name="SPSS">[28]Figure5.6!$B$2:$X$30</definedName>
    <definedName name="stub_lines" localSheetId="36">#REF!</definedName>
    <definedName name="stub_lines" localSheetId="38">#REF!</definedName>
    <definedName name="stub_lines">#REF!</definedName>
    <definedName name="STZN">#N/A</definedName>
    <definedName name="T_A4.3_W_2010">'[29]T_A4.6'!$A$8:$O$55</definedName>
    <definedName name="T_A4.6">'[29]T_A4.8 (Web)'!$A$8:$K$47</definedName>
    <definedName name="T3_L_TOT_MW">[30]T3_L_TOT_MW!$G$1:$M$315</definedName>
    <definedName name="T3_MW_2564">[30]T3_L_EDCAT_MW!$G$1:$N$853</definedName>
    <definedName name="T3_N_MW_2564">[30]T3_N_EDCAT_MW!$G$1:$N$857</definedName>
    <definedName name="T3_N_TOT_MW">[30]T3_N_TOT_MW!$G$1:$M$315</definedName>
    <definedName name="T4_N_EDCAT_MW" localSheetId="36">[31]T4_N_EDCAT_MW!#REF!</definedName>
    <definedName name="T4_N_EDCAT_MW" localSheetId="38">[31]T4_N_EDCAT_MW!#REF!</definedName>
    <definedName name="T4_N_EDCAT_MW">[31]T4_N_EDCAT_MW!#REF!</definedName>
    <definedName name="Table_DE.4b__Sources_of_private_wealth_accumulation_in_Germany__1870_2010___Multiplicative_decomposition" localSheetId="36">#REF!</definedName>
    <definedName name="Table_DE.4b__Sources_of_private_wealth_accumulation_in_Germany__1870_2010___Multiplicative_decomposition" localSheetId="38">#REF!</definedName>
    <definedName name="Table_DE.4b__Sources_of_private_wealth_accumulation_in_Germany__1870_2010___Multiplicative_decomposition">#REF!</definedName>
    <definedName name="tableJEL" localSheetId="36">#REF!</definedName>
    <definedName name="tableJEL" localSheetId="38">#REF!</definedName>
    <definedName name="tableJEL">#REF!</definedName>
    <definedName name="temp" localSheetId="36">#REF!</definedName>
    <definedName name="temp" localSheetId="38">#REF!</definedName>
    <definedName name="temp">#REF!</definedName>
    <definedName name="Template_Y1">#REF!</definedName>
    <definedName name="Template_Y10">#REF!</definedName>
    <definedName name="Template_Y2">#REF!</definedName>
    <definedName name="Template_Y3">#REF!</definedName>
    <definedName name="Template_Y4">#REF!</definedName>
    <definedName name="Template_Y5">#REF!</definedName>
    <definedName name="Template_Y6">#REF!</definedName>
    <definedName name="Template_Y7">#REF!</definedName>
    <definedName name="Template_Y8">#REF!</definedName>
    <definedName name="Template_Y9">#REF!</definedName>
    <definedName name="test" localSheetId="36">[6]Регион!#REF!</definedName>
    <definedName name="test" localSheetId="38">[6]Регион!#REF!</definedName>
    <definedName name="test">[6]Регион!#REF!</definedName>
    <definedName name="Title_A4.3_M_2009">'[29]T_A4.6'!$A$5:$O$5</definedName>
    <definedName name="titles" localSheetId="36">#REF!</definedName>
    <definedName name="titles" localSheetId="38">#REF!</definedName>
    <definedName name="titles">#REF!</definedName>
    <definedName name="totals" localSheetId="36">#REF!</definedName>
    <definedName name="totals" localSheetId="38">#REF!</definedName>
    <definedName name="totals">#REF!</definedName>
    <definedName name="toto">'[32]Graph 3.7.a'!$B$125:$C$151</definedName>
    <definedName name="toto1">[33]Data5.11a!$B$3:$C$34</definedName>
    <definedName name="tt" localSheetId="36">#REF!</definedName>
    <definedName name="tt" localSheetId="38">#REF!</definedName>
    <definedName name="tt">#REF!</definedName>
    <definedName name="UHRN96">#N/A</definedName>
    <definedName name="unite">#REF!</definedName>
    <definedName name="valuevx">42.314159</definedName>
    <definedName name="weight">[34]F5_W!$A$1:$C$33</definedName>
    <definedName name="xxx" localSheetId="36">#REF!</definedName>
    <definedName name="xxx" localSheetId="38">#REF!</definedName>
    <definedName name="xxx">#REF!</definedName>
    <definedName name="xxxx" localSheetId="36">#REF!</definedName>
    <definedName name="xxxx" localSheetId="38">#REF!</definedName>
    <definedName name="xxxx">#REF!</definedName>
    <definedName name="Year">[26]Output!$C$4:$C$38</definedName>
    <definedName name="YearLabel">[26]Output!$B$15</definedName>
    <definedName name="yearly">[35]data_sheet!$D$10:$DV$177</definedName>
    <definedName name="ZAM1_96">#N/A</definedName>
    <definedName name="ZAM96">#N/A</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2" i="67" l="1"/>
  <c r="E142" i="67"/>
  <c r="D142" i="67"/>
  <c r="C142" i="67"/>
  <c r="B142" i="67"/>
  <c r="A142" i="67"/>
  <c r="F141" i="67"/>
  <c r="E141" i="67"/>
  <c r="D141" i="67"/>
  <c r="C141" i="67"/>
  <c r="B141" i="67"/>
  <c r="A141" i="67"/>
  <c r="F140" i="67"/>
  <c r="E140" i="67"/>
  <c r="D140" i="67"/>
  <c r="C140" i="67"/>
  <c r="B140" i="67"/>
  <c r="A140" i="67"/>
  <c r="F139" i="67"/>
  <c r="E139" i="67"/>
  <c r="D139" i="67"/>
  <c r="C139" i="67"/>
  <c r="B139" i="67"/>
  <c r="A139" i="67"/>
  <c r="F138" i="67"/>
  <c r="E138" i="67"/>
  <c r="D138" i="67"/>
  <c r="C138" i="67"/>
  <c r="B138" i="67"/>
  <c r="A138" i="67"/>
  <c r="F137" i="67"/>
  <c r="E137" i="67"/>
  <c r="D137" i="67"/>
  <c r="C137" i="67"/>
  <c r="B137" i="67"/>
  <c r="A137" i="67"/>
  <c r="F136" i="67"/>
  <c r="E136" i="67"/>
  <c r="D136" i="67"/>
  <c r="C136" i="67"/>
  <c r="B136" i="67"/>
  <c r="A136" i="67"/>
  <c r="F135" i="67"/>
  <c r="E135" i="67"/>
  <c r="D135" i="67"/>
  <c r="C135" i="67"/>
  <c r="B135" i="67"/>
  <c r="A135" i="67"/>
  <c r="F134" i="67"/>
  <c r="E134" i="67"/>
  <c r="D134" i="67"/>
  <c r="C134" i="67"/>
  <c r="B134" i="67"/>
  <c r="A134" i="67"/>
  <c r="F133" i="67"/>
  <c r="E133" i="67"/>
  <c r="D133" i="67"/>
  <c r="C133" i="67"/>
  <c r="B133" i="67"/>
  <c r="A133" i="67"/>
  <c r="F116" i="67"/>
  <c r="E116" i="67"/>
  <c r="D116" i="67"/>
  <c r="C116" i="67"/>
  <c r="B116" i="67"/>
  <c r="A116" i="67"/>
  <c r="F115" i="67"/>
  <c r="E115" i="67"/>
  <c r="D115" i="67"/>
  <c r="C115" i="67"/>
  <c r="B115" i="67"/>
  <c r="A115" i="67"/>
  <c r="F114" i="67"/>
  <c r="E114" i="67"/>
  <c r="D114" i="67"/>
  <c r="C114" i="67"/>
  <c r="B114" i="67"/>
  <c r="A114" i="67"/>
  <c r="F113" i="67"/>
  <c r="E113" i="67"/>
  <c r="D113" i="67"/>
  <c r="C113" i="67"/>
  <c r="B113" i="67"/>
  <c r="A113" i="67"/>
  <c r="F112" i="67"/>
  <c r="E112" i="67"/>
  <c r="D112" i="67"/>
  <c r="C112" i="67"/>
  <c r="B112" i="67"/>
  <c r="A112" i="67"/>
  <c r="F111" i="67"/>
  <c r="E111" i="67"/>
  <c r="D111" i="67"/>
  <c r="C111" i="67"/>
  <c r="B111" i="67"/>
  <c r="A111" i="67"/>
  <c r="F110" i="67"/>
  <c r="E110" i="67"/>
  <c r="D110" i="67"/>
  <c r="C110" i="67"/>
  <c r="B110" i="67"/>
  <c r="A110" i="67"/>
  <c r="F109" i="67"/>
  <c r="E109" i="67"/>
  <c r="D109" i="67"/>
  <c r="C109" i="67"/>
  <c r="B109" i="67"/>
  <c r="A109" i="67"/>
  <c r="F108" i="67"/>
  <c r="E108" i="67"/>
  <c r="D108" i="67"/>
  <c r="C108" i="67"/>
  <c r="B108" i="67"/>
  <c r="A108" i="67"/>
  <c r="F107" i="67"/>
  <c r="E107" i="67"/>
  <c r="D107" i="67"/>
  <c r="C107" i="67"/>
  <c r="B107" i="67"/>
  <c r="A107" i="67"/>
  <c r="F106" i="67"/>
  <c r="E106" i="67"/>
  <c r="D106" i="67"/>
  <c r="C106" i="67"/>
  <c r="B106" i="67"/>
  <c r="A106" i="67"/>
  <c r="F88" i="67"/>
  <c r="E88" i="67"/>
  <c r="D88" i="67"/>
  <c r="C88" i="67"/>
  <c r="B88" i="67"/>
  <c r="A88" i="67"/>
  <c r="F87" i="67"/>
  <c r="E87" i="67"/>
  <c r="D87" i="67"/>
  <c r="C87" i="67"/>
  <c r="B87" i="67"/>
  <c r="A87" i="67"/>
  <c r="F86" i="67"/>
  <c r="E86" i="67"/>
  <c r="D86" i="67"/>
  <c r="C86" i="67"/>
  <c r="B86" i="67"/>
  <c r="A86" i="67"/>
  <c r="F85" i="67"/>
  <c r="E85" i="67"/>
  <c r="D85" i="67"/>
  <c r="C85" i="67"/>
  <c r="B85" i="67"/>
  <c r="A85" i="67"/>
  <c r="F84" i="67"/>
  <c r="E84" i="67"/>
  <c r="D84" i="67"/>
  <c r="C84" i="67"/>
  <c r="B84" i="67"/>
  <c r="A84" i="67"/>
  <c r="F83" i="67"/>
  <c r="E83" i="67"/>
  <c r="D83" i="67"/>
  <c r="C83" i="67"/>
  <c r="B83" i="67"/>
  <c r="A83" i="67"/>
  <c r="F82" i="67"/>
  <c r="E82" i="67"/>
  <c r="D82" i="67"/>
  <c r="C82" i="67"/>
  <c r="B82" i="67"/>
  <c r="A82" i="67"/>
  <c r="F81" i="67"/>
  <c r="E81" i="67"/>
  <c r="D81" i="67"/>
  <c r="C81" i="67"/>
  <c r="B81" i="67"/>
  <c r="A81" i="67"/>
  <c r="F80" i="67"/>
  <c r="E80" i="67"/>
  <c r="D80" i="67"/>
  <c r="C80" i="67"/>
  <c r="B80" i="67"/>
  <c r="A80" i="67"/>
  <c r="F79" i="67"/>
  <c r="E79" i="67"/>
  <c r="D79" i="67"/>
  <c r="C79" i="67"/>
  <c r="B79" i="67"/>
  <c r="A79" i="67"/>
  <c r="F78" i="67"/>
  <c r="E78" i="67"/>
  <c r="D78" i="67"/>
  <c r="C78" i="67"/>
  <c r="B78" i="67"/>
  <c r="A78" i="67"/>
  <c r="M70" i="67"/>
  <c r="L70" i="67"/>
  <c r="K70" i="67"/>
  <c r="J70" i="67"/>
  <c r="I70" i="67"/>
  <c r="H70" i="67"/>
  <c r="M69" i="67"/>
  <c r="L69" i="67"/>
  <c r="K69" i="67"/>
  <c r="J69" i="67"/>
  <c r="I69" i="67"/>
  <c r="H69" i="67"/>
  <c r="M68" i="67"/>
  <c r="L68" i="67"/>
  <c r="K68" i="67"/>
  <c r="J68" i="67"/>
  <c r="I68" i="67"/>
  <c r="H68" i="67"/>
  <c r="M67" i="67"/>
  <c r="L67" i="67"/>
  <c r="K67" i="67"/>
  <c r="J67" i="67"/>
  <c r="I67" i="67"/>
  <c r="H67" i="67"/>
  <c r="M66" i="67"/>
  <c r="L66" i="67"/>
  <c r="K66" i="67"/>
  <c r="J66" i="67"/>
  <c r="I66" i="67"/>
  <c r="H66" i="67"/>
  <c r="M65" i="67"/>
  <c r="L65" i="67"/>
  <c r="K65" i="67"/>
  <c r="J65" i="67"/>
  <c r="I65" i="67"/>
  <c r="H65" i="67"/>
  <c r="M64" i="67"/>
  <c r="L64" i="67"/>
  <c r="K64" i="67"/>
  <c r="J64" i="67"/>
  <c r="I64" i="67"/>
  <c r="H64" i="67"/>
  <c r="M63" i="67"/>
  <c r="L63" i="67"/>
  <c r="K63" i="67"/>
  <c r="J63" i="67"/>
  <c r="I63" i="67"/>
  <c r="H63" i="67"/>
  <c r="M62" i="67"/>
  <c r="L62" i="67"/>
  <c r="K62" i="67"/>
  <c r="J62" i="67"/>
  <c r="I62" i="67"/>
  <c r="H62" i="67"/>
  <c r="M61" i="67"/>
  <c r="L61" i="67"/>
  <c r="K61" i="67"/>
  <c r="J61" i="67"/>
  <c r="I61" i="67"/>
  <c r="H61" i="67"/>
  <c r="M60" i="67"/>
  <c r="L60" i="67"/>
  <c r="K60" i="67"/>
  <c r="J60" i="67"/>
  <c r="I60" i="67"/>
  <c r="H60" i="67"/>
  <c r="F60" i="67"/>
  <c r="E60" i="67"/>
  <c r="D60" i="67"/>
  <c r="C60" i="67"/>
  <c r="B60" i="67"/>
  <c r="A60" i="67"/>
  <c r="M59" i="67"/>
  <c r="L59" i="67"/>
  <c r="K59" i="67"/>
  <c r="J59" i="67"/>
  <c r="I59" i="67"/>
  <c r="H59" i="67"/>
  <c r="F59" i="67"/>
  <c r="E59" i="67"/>
  <c r="D59" i="67"/>
  <c r="C59" i="67"/>
  <c r="B59" i="67"/>
  <c r="A59" i="67"/>
  <c r="M58" i="67"/>
  <c r="L58" i="67"/>
  <c r="K58" i="67"/>
  <c r="J58" i="67"/>
  <c r="I58" i="67"/>
  <c r="H58" i="67"/>
  <c r="F58" i="67"/>
  <c r="E58" i="67"/>
  <c r="D58" i="67"/>
  <c r="C58" i="67"/>
  <c r="B58" i="67"/>
  <c r="A58" i="67"/>
  <c r="M57" i="67"/>
  <c r="L57" i="67"/>
  <c r="K57" i="67"/>
  <c r="J57" i="67"/>
  <c r="I57" i="67"/>
  <c r="H57" i="67"/>
  <c r="F57" i="67"/>
  <c r="E57" i="67"/>
  <c r="D57" i="67"/>
  <c r="C57" i="67"/>
  <c r="B57" i="67"/>
  <c r="A57" i="67"/>
  <c r="F56" i="67"/>
  <c r="E56" i="67"/>
  <c r="D56" i="67"/>
  <c r="C56" i="67"/>
  <c r="B56" i="67"/>
  <c r="A56" i="67"/>
  <c r="F55" i="67"/>
  <c r="E55" i="67"/>
  <c r="D55" i="67"/>
  <c r="C55" i="67"/>
  <c r="B55" i="67"/>
  <c r="A55" i="67"/>
  <c r="F54" i="67"/>
  <c r="E54" i="67"/>
  <c r="D54" i="67"/>
  <c r="C54" i="67"/>
  <c r="B54" i="67"/>
  <c r="A54" i="67"/>
  <c r="F53" i="67"/>
  <c r="E53" i="67"/>
  <c r="D53" i="67"/>
  <c r="C53" i="67"/>
  <c r="B53" i="67"/>
  <c r="A53" i="67"/>
  <c r="F52" i="67"/>
  <c r="E52" i="67"/>
  <c r="D52" i="67"/>
  <c r="C52" i="67"/>
  <c r="B52" i="67"/>
  <c r="A52" i="67"/>
  <c r="F51" i="67"/>
  <c r="E51" i="67"/>
  <c r="D51" i="67"/>
  <c r="C51" i="67"/>
  <c r="B51" i="67"/>
  <c r="A51" i="67"/>
  <c r="F50" i="67"/>
  <c r="E50" i="67"/>
  <c r="D50" i="67"/>
  <c r="C50" i="67"/>
  <c r="B50" i="67"/>
  <c r="A50" i="67"/>
  <c r="M36" i="67"/>
  <c r="L36" i="67"/>
  <c r="K36" i="67"/>
  <c r="J36" i="67"/>
  <c r="I36" i="67"/>
  <c r="H36" i="67"/>
  <c r="M35" i="67"/>
  <c r="L35" i="67"/>
  <c r="K35" i="67"/>
  <c r="J35" i="67"/>
  <c r="I35" i="67"/>
  <c r="H35" i="67"/>
  <c r="M34" i="67"/>
  <c r="L34" i="67"/>
  <c r="K34" i="67"/>
  <c r="J34" i="67"/>
  <c r="I34" i="67"/>
  <c r="H34" i="67"/>
  <c r="M33" i="67"/>
  <c r="L33" i="67"/>
  <c r="K33" i="67"/>
  <c r="J33" i="67"/>
  <c r="I33" i="67"/>
  <c r="H33" i="67"/>
  <c r="M32" i="67"/>
  <c r="L32" i="67"/>
  <c r="K32" i="67"/>
  <c r="J32" i="67"/>
  <c r="I32" i="67"/>
  <c r="H32" i="67"/>
  <c r="F32" i="67"/>
  <c r="E32" i="67"/>
  <c r="D32" i="67"/>
  <c r="C32" i="67"/>
  <c r="B32" i="67"/>
  <c r="A32" i="67"/>
  <c r="M31" i="67"/>
  <c r="L31" i="67"/>
  <c r="K31" i="67"/>
  <c r="J31" i="67"/>
  <c r="I31" i="67"/>
  <c r="H31" i="67"/>
  <c r="F31" i="67"/>
  <c r="E31" i="67"/>
  <c r="D31" i="67"/>
  <c r="C31" i="67"/>
  <c r="B31" i="67"/>
  <c r="A31" i="67"/>
  <c r="M30" i="67"/>
  <c r="L30" i="67"/>
  <c r="K30" i="67"/>
  <c r="J30" i="67"/>
  <c r="I30" i="67"/>
  <c r="H30" i="67"/>
  <c r="F30" i="67"/>
  <c r="E30" i="67"/>
  <c r="D30" i="67"/>
  <c r="C30" i="67"/>
  <c r="B30" i="67"/>
  <c r="A30" i="67"/>
  <c r="M29" i="67"/>
  <c r="L29" i="67"/>
  <c r="K29" i="67"/>
  <c r="J29" i="67"/>
  <c r="I29" i="67"/>
  <c r="H29" i="67"/>
  <c r="F29" i="67"/>
  <c r="E29" i="67"/>
  <c r="D29" i="67"/>
  <c r="C29" i="67"/>
  <c r="B29" i="67"/>
  <c r="A29" i="67"/>
  <c r="M28" i="67"/>
  <c r="L28" i="67"/>
  <c r="K28" i="67"/>
  <c r="J28" i="67"/>
  <c r="I28" i="67"/>
  <c r="H28" i="67"/>
  <c r="F28" i="67"/>
  <c r="E28" i="67"/>
  <c r="D28" i="67"/>
  <c r="C28" i="67"/>
  <c r="B28" i="67"/>
  <c r="A28" i="67"/>
  <c r="M27" i="67"/>
  <c r="L27" i="67"/>
  <c r="K27" i="67"/>
  <c r="J27" i="67"/>
  <c r="I27" i="67"/>
  <c r="H27" i="67"/>
  <c r="F27" i="67"/>
  <c r="E27" i="67"/>
  <c r="D27" i="67"/>
  <c r="C27" i="67"/>
  <c r="B27" i="67"/>
  <c r="A27" i="67"/>
  <c r="M26" i="67"/>
  <c r="L26" i="67"/>
  <c r="K26" i="67"/>
  <c r="J26" i="67"/>
  <c r="I26" i="67"/>
  <c r="H26" i="67"/>
  <c r="F26" i="67"/>
  <c r="E26" i="67"/>
  <c r="D26" i="67"/>
  <c r="C26" i="67"/>
  <c r="B26" i="67"/>
  <c r="A26" i="67"/>
  <c r="M25" i="67"/>
  <c r="L25" i="67"/>
  <c r="K25" i="67"/>
  <c r="J25" i="67"/>
  <c r="I25" i="67"/>
  <c r="H25" i="67"/>
  <c r="F25" i="67"/>
  <c r="E25" i="67"/>
  <c r="D25" i="67"/>
  <c r="C25" i="67"/>
  <c r="B25" i="67"/>
  <c r="A25" i="67"/>
  <c r="M24" i="67"/>
  <c r="L24" i="67"/>
  <c r="K24" i="67"/>
  <c r="J24" i="67"/>
  <c r="I24" i="67"/>
  <c r="H24" i="67"/>
  <c r="F24" i="67"/>
  <c r="E24" i="67"/>
  <c r="D24" i="67"/>
  <c r="C24" i="67"/>
  <c r="B24" i="67"/>
  <c r="A24" i="67"/>
  <c r="M23" i="67"/>
  <c r="L23" i="67"/>
  <c r="K23" i="67"/>
  <c r="J23" i="67"/>
  <c r="I23" i="67"/>
  <c r="H23" i="67"/>
  <c r="F23" i="67"/>
  <c r="E23" i="67"/>
  <c r="D23" i="67"/>
  <c r="C23" i="67"/>
  <c r="B23" i="67"/>
  <c r="A23" i="67"/>
  <c r="F22" i="67"/>
  <c r="E22" i="67"/>
  <c r="D22" i="67"/>
  <c r="C22" i="67"/>
  <c r="B22" i="67"/>
  <c r="A22" i="67"/>
  <c r="F21" i="67"/>
  <c r="E21" i="67"/>
  <c r="D21" i="67"/>
  <c r="C21" i="67"/>
  <c r="B21" i="67"/>
  <c r="A21" i="67"/>
  <c r="A9" i="4" l="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7" i="4"/>
  <c r="A8" i="4" s="1"/>
  <c r="F350" i="10"/>
  <c r="F345" i="10"/>
  <c r="F340" i="10"/>
  <c r="F335" i="10"/>
  <c r="F330" i="10"/>
  <c r="F325" i="10"/>
  <c r="F320" i="10"/>
  <c r="F315" i="10"/>
  <c r="F310" i="10"/>
  <c r="F305" i="10"/>
  <c r="F301" i="10"/>
  <c r="D301" i="10"/>
  <c r="B301" i="10"/>
  <c r="F300" i="10"/>
  <c r="F299" i="10"/>
  <c r="F295" i="10"/>
  <c r="F290" i="10"/>
  <c r="D286" i="10"/>
  <c r="B286" i="10"/>
  <c r="F285" i="10"/>
  <c r="F284" i="10"/>
  <c r="D281" i="10"/>
  <c r="B281" i="10"/>
  <c r="F280" i="10"/>
  <c r="F279" i="10"/>
  <c r="F281" i="10" s="1"/>
  <c r="F276" i="10"/>
  <c r="D276" i="10"/>
  <c r="B276" i="10"/>
  <c r="F275" i="10"/>
  <c r="F274" i="10"/>
  <c r="AJ250" i="10"/>
  <c r="AH250" i="10"/>
  <c r="AM250" i="10" s="1"/>
  <c r="W248" i="10"/>
  <c r="Q248" i="10"/>
  <c r="O248" i="10"/>
  <c r="M248" i="10"/>
  <c r="K248" i="10"/>
  <c r="J248" i="10"/>
  <c r="I248" i="10"/>
  <c r="C248" i="10"/>
  <c r="K247" i="10"/>
  <c r="J247" i="10"/>
  <c r="I247" i="10"/>
  <c r="C247" i="10"/>
  <c r="K246" i="10"/>
  <c r="J246" i="10"/>
  <c r="I246" i="10"/>
  <c r="C246" i="10"/>
  <c r="AM245" i="10"/>
  <c r="AJ245" i="10"/>
  <c r="AH245" i="10"/>
  <c r="K245" i="10"/>
  <c r="I245" i="10"/>
  <c r="J245" i="10" s="1"/>
  <c r="C245" i="10"/>
  <c r="K244" i="10"/>
  <c r="I244" i="10"/>
  <c r="J244" i="10" s="1"/>
  <c r="C244" i="10"/>
  <c r="X243" i="10"/>
  <c r="V243" i="10"/>
  <c r="M243" i="10"/>
  <c r="K243" i="10"/>
  <c r="I243" i="10"/>
  <c r="O243" i="10" s="1"/>
  <c r="Q243" i="10" s="1"/>
  <c r="C243" i="10"/>
  <c r="K242" i="10"/>
  <c r="I242" i="10"/>
  <c r="J242" i="10" s="1"/>
  <c r="C242" i="10"/>
  <c r="K241" i="10"/>
  <c r="I241" i="10"/>
  <c r="J241" i="10" s="1"/>
  <c r="C241" i="10"/>
  <c r="AJ240" i="10"/>
  <c r="AH240" i="10"/>
  <c r="AM240" i="10" s="1"/>
  <c r="K240" i="10"/>
  <c r="I240" i="10"/>
  <c r="J240" i="10" s="1"/>
  <c r="C240" i="10"/>
  <c r="K239" i="10"/>
  <c r="J239" i="10"/>
  <c r="I239" i="10"/>
  <c r="C239" i="10"/>
  <c r="X238" i="10"/>
  <c r="V238" i="10"/>
  <c r="W238" i="10" s="1"/>
  <c r="R238" i="10"/>
  <c r="P238" i="10"/>
  <c r="Q238" i="10" s="1"/>
  <c r="K238" i="10"/>
  <c r="J238" i="10"/>
  <c r="I238" i="10"/>
  <c r="O238" i="10" s="1"/>
  <c r="C238" i="10"/>
  <c r="K237" i="10"/>
  <c r="I237" i="10"/>
  <c r="J237" i="10" s="1"/>
  <c r="C237" i="10"/>
  <c r="K236" i="10"/>
  <c r="I236" i="10"/>
  <c r="J236" i="10" s="1"/>
  <c r="C236" i="10"/>
  <c r="AM235" i="10"/>
  <c r="AJ235" i="10"/>
  <c r="AH235" i="10"/>
  <c r="K235" i="10"/>
  <c r="I235" i="10"/>
  <c r="J235" i="10" s="1"/>
  <c r="C235" i="10"/>
  <c r="K234" i="10"/>
  <c r="J234" i="10"/>
  <c r="I234" i="10"/>
  <c r="C234" i="10"/>
  <c r="X233" i="10"/>
  <c r="V233" i="10"/>
  <c r="R233" i="10"/>
  <c r="P233" i="10"/>
  <c r="K233" i="10"/>
  <c r="I233" i="10"/>
  <c r="C233" i="10"/>
  <c r="K232" i="10"/>
  <c r="I232" i="10"/>
  <c r="J232" i="10" s="1"/>
  <c r="C232" i="10"/>
  <c r="AA231" i="10"/>
  <c r="Z231" i="10"/>
  <c r="K231" i="10"/>
  <c r="I231" i="10"/>
  <c r="J231" i="10" s="1"/>
  <c r="C231" i="10"/>
  <c r="AM230" i="10"/>
  <c r="AJ230" i="10"/>
  <c r="AH230" i="10"/>
  <c r="K230" i="10"/>
  <c r="I230" i="10"/>
  <c r="J230" i="10" s="1"/>
  <c r="C230" i="10"/>
  <c r="K229" i="10"/>
  <c r="J229" i="10"/>
  <c r="I229" i="10"/>
  <c r="C229" i="10"/>
  <c r="X228" i="10"/>
  <c r="V228" i="10"/>
  <c r="R228" i="10"/>
  <c r="P228" i="10"/>
  <c r="K228" i="10"/>
  <c r="I228" i="10"/>
  <c r="C228" i="10"/>
  <c r="K227" i="10"/>
  <c r="I227" i="10"/>
  <c r="J227" i="10" s="1"/>
  <c r="C227" i="10"/>
  <c r="K226" i="10"/>
  <c r="I226" i="10"/>
  <c r="J226" i="10" s="1"/>
  <c r="C226" i="10"/>
  <c r="AJ225" i="10"/>
  <c r="AH225" i="10"/>
  <c r="AM225" i="10" s="1"/>
  <c r="K225" i="10"/>
  <c r="I225" i="10"/>
  <c r="J225" i="10" s="1"/>
  <c r="C225" i="10"/>
  <c r="K224" i="10"/>
  <c r="I224" i="10"/>
  <c r="J224" i="10" s="1"/>
  <c r="C224" i="10"/>
  <c r="R223" i="10"/>
  <c r="P223" i="10"/>
  <c r="O223" i="10"/>
  <c r="K223" i="10"/>
  <c r="I223" i="10"/>
  <c r="J223" i="10" s="1"/>
  <c r="C223" i="10"/>
  <c r="K222" i="10"/>
  <c r="I222" i="10"/>
  <c r="J222" i="10" s="1"/>
  <c r="C222" i="10"/>
  <c r="X221" i="10"/>
  <c r="W221" i="10"/>
  <c r="V221" i="10"/>
  <c r="K221" i="10"/>
  <c r="I221" i="10"/>
  <c r="J221" i="10" s="1"/>
  <c r="C221" i="10"/>
  <c r="AJ220" i="10"/>
  <c r="AH220" i="10"/>
  <c r="AM220" i="10" s="1"/>
  <c r="K220" i="10"/>
  <c r="J220" i="10"/>
  <c r="I220" i="10"/>
  <c r="C220" i="10"/>
  <c r="R219" i="10"/>
  <c r="P219" i="10"/>
  <c r="Q219" i="10" s="1"/>
  <c r="O219" i="10"/>
  <c r="K219" i="10"/>
  <c r="J219" i="10"/>
  <c r="I219" i="10"/>
  <c r="C219" i="10"/>
  <c r="Z218" i="10"/>
  <c r="AA218" i="10" s="1"/>
  <c r="K218" i="10"/>
  <c r="I218" i="10"/>
  <c r="J218" i="10" s="1"/>
  <c r="C218" i="10"/>
  <c r="K217" i="10"/>
  <c r="I217" i="10"/>
  <c r="J217" i="10" s="1"/>
  <c r="C217" i="10"/>
  <c r="K216" i="10"/>
  <c r="I216" i="10"/>
  <c r="J216" i="10" s="1"/>
  <c r="C216" i="10"/>
  <c r="K215" i="10"/>
  <c r="I215" i="10"/>
  <c r="J215" i="10" s="1"/>
  <c r="C215" i="10"/>
  <c r="X214" i="10"/>
  <c r="V214" i="10"/>
  <c r="W214" i="10" s="1"/>
  <c r="R214" i="10"/>
  <c r="P214" i="10"/>
  <c r="Q214" i="10" s="1"/>
  <c r="K214" i="10"/>
  <c r="I214" i="10"/>
  <c r="O214" i="10" s="1"/>
  <c r="C214" i="10"/>
  <c r="K213" i="10"/>
  <c r="I213" i="10"/>
  <c r="J213" i="10" s="1"/>
  <c r="C213" i="10"/>
  <c r="R212" i="10"/>
  <c r="Q212" i="10"/>
  <c r="P212" i="10"/>
  <c r="O212" i="10"/>
  <c r="K212" i="10"/>
  <c r="I212" i="10"/>
  <c r="J212" i="10" s="1"/>
  <c r="C212" i="10"/>
  <c r="K211" i="10"/>
  <c r="I211" i="10"/>
  <c r="J211" i="10" s="1"/>
  <c r="C211" i="10"/>
  <c r="K210" i="10"/>
  <c r="I210" i="10"/>
  <c r="J210" i="10" s="1"/>
  <c r="C210" i="10"/>
  <c r="K209" i="10"/>
  <c r="I209" i="10"/>
  <c r="J209" i="10" s="1"/>
  <c r="C209" i="10"/>
  <c r="K208" i="10"/>
  <c r="I208" i="10"/>
  <c r="J208" i="10" s="1"/>
  <c r="C208" i="10"/>
  <c r="X207" i="10"/>
  <c r="W207" i="10"/>
  <c r="V207" i="10"/>
  <c r="R207" i="10"/>
  <c r="Q207" i="10"/>
  <c r="P207" i="10"/>
  <c r="K207" i="10"/>
  <c r="I207" i="10"/>
  <c r="O207" i="10" s="1"/>
  <c r="C207" i="10"/>
  <c r="K206" i="10"/>
  <c r="J206" i="10"/>
  <c r="I206" i="10"/>
  <c r="C206" i="10"/>
  <c r="K205" i="10"/>
  <c r="I205" i="10"/>
  <c r="J205" i="10" s="1"/>
  <c r="C205" i="10"/>
  <c r="R204" i="10"/>
  <c r="Q204" i="10"/>
  <c r="P204" i="10"/>
  <c r="K204" i="10"/>
  <c r="I204" i="10"/>
  <c r="O204" i="10" s="1"/>
  <c r="C204" i="10"/>
  <c r="K203" i="10"/>
  <c r="J203" i="10"/>
  <c r="I203" i="10"/>
  <c r="C203" i="10"/>
  <c r="K202" i="10"/>
  <c r="I202" i="10"/>
  <c r="J202" i="10" s="1"/>
  <c r="C202" i="10"/>
  <c r="K201" i="10"/>
  <c r="J201" i="10"/>
  <c r="I201" i="10"/>
  <c r="C201" i="10"/>
  <c r="X200" i="10"/>
  <c r="V200" i="10"/>
  <c r="K200" i="10"/>
  <c r="J200" i="10"/>
  <c r="I200" i="10"/>
  <c r="C200" i="10"/>
  <c r="R199" i="10"/>
  <c r="P199" i="10"/>
  <c r="K199" i="10"/>
  <c r="J199" i="10"/>
  <c r="I199" i="10"/>
  <c r="O199" i="10" s="1"/>
  <c r="C199" i="10"/>
  <c r="K198" i="10"/>
  <c r="J198" i="10"/>
  <c r="I198" i="10"/>
  <c r="C198" i="10"/>
  <c r="K197" i="10"/>
  <c r="J197" i="10"/>
  <c r="I197" i="10"/>
  <c r="C197" i="10"/>
  <c r="K196" i="10"/>
  <c r="J196" i="10"/>
  <c r="I196" i="10"/>
  <c r="C196" i="10"/>
  <c r="X195" i="10"/>
  <c r="V195" i="10"/>
  <c r="W195" i="10" s="1"/>
  <c r="K195" i="10"/>
  <c r="J195" i="10"/>
  <c r="I195" i="10"/>
  <c r="C195" i="10"/>
  <c r="R194" i="10"/>
  <c r="P194" i="10"/>
  <c r="O194" i="10"/>
  <c r="K194" i="10"/>
  <c r="J194" i="10"/>
  <c r="I194" i="10"/>
  <c r="C194" i="10"/>
  <c r="R193" i="10"/>
  <c r="P193" i="10"/>
  <c r="O193" i="10"/>
  <c r="K193" i="10"/>
  <c r="J193" i="10"/>
  <c r="I193" i="10"/>
  <c r="C193" i="10"/>
  <c r="K192" i="10"/>
  <c r="J192" i="10"/>
  <c r="I192" i="10"/>
  <c r="C192" i="10"/>
  <c r="X191" i="10"/>
  <c r="V191" i="10"/>
  <c r="W191" i="10" s="1"/>
  <c r="K191" i="10"/>
  <c r="J191" i="10"/>
  <c r="I191" i="10"/>
  <c r="C191" i="10"/>
  <c r="K190" i="10"/>
  <c r="J190" i="10"/>
  <c r="I190" i="10"/>
  <c r="C190" i="10"/>
  <c r="K189" i="10"/>
  <c r="J189" i="10"/>
  <c r="I189" i="10"/>
  <c r="C189" i="10"/>
  <c r="R188" i="10"/>
  <c r="P188" i="10"/>
  <c r="Q188" i="10" s="1"/>
  <c r="K188" i="10"/>
  <c r="J188" i="10"/>
  <c r="I188" i="10"/>
  <c r="O188" i="10" s="1"/>
  <c r="C188" i="10"/>
  <c r="K187" i="10"/>
  <c r="J187" i="10"/>
  <c r="I187" i="10"/>
  <c r="C187" i="10"/>
  <c r="K186" i="10"/>
  <c r="J186" i="10"/>
  <c r="I186" i="10"/>
  <c r="C186" i="10"/>
  <c r="K185" i="10"/>
  <c r="J185" i="10"/>
  <c r="I185" i="10"/>
  <c r="C185" i="10"/>
  <c r="R184" i="10"/>
  <c r="P184" i="10"/>
  <c r="Q184" i="10" s="1"/>
  <c r="O184" i="10"/>
  <c r="K184" i="10"/>
  <c r="J184" i="10"/>
  <c r="I184" i="10"/>
  <c r="C184" i="10"/>
  <c r="K183" i="10"/>
  <c r="J183" i="10"/>
  <c r="I183" i="10"/>
  <c r="C183" i="10"/>
  <c r="R182" i="10"/>
  <c r="P182" i="10"/>
  <c r="K182" i="10"/>
  <c r="J182" i="10"/>
  <c r="I182" i="10"/>
  <c r="O182" i="10" s="1"/>
  <c r="C182" i="10"/>
  <c r="K181" i="10"/>
  <c r="J181" i="10"/>
  <c r="I181" i="10"/>
  <c r="C181" i="10"/>
  <c r="K180" i="10"/>
  <c r="J180" i="10"/>
  <c r="I180" i="10"/>
  <c r="C180" i="10"/>
  <c r="K179" i="10"/>
  <c r="J179" i="10"/>
  <c r="I179" i="10"/>
  <c r="C179" i="10"/>
  <c r="K178" i="10"/>
  <c r="J178" i="10"/>
  <c r="I178" i="10"/>
  <c r="C178" i="10"/>
  <c r="R177" i="10"/>
  <c r="P177" i="10"/>
  <c r="K177" i="10"/>
  <c r="J177" i="10"/>
  <c r="I177" i="10"/>
  <c r="O177" i="10" s="1"/>
  <c r="C177" i="10"/>
  <c r="K176" i="10"/>
  <c r="J176" i="10"/>
  <c r="I176" i="10"/>
  <c r="C176" i="10"/>
  <c r="K175" i="10"/>
  <c r="J175" i="10"/>
  <c r="I175" i="10"/>
  <c r="C175" i="10"/>
  <c r="K174" i="10"/>
  <c r="J174" i="10"/>
  <c r="I174" i="10"/>
  <c r="C174" i="10"/>
  <c r="R173" i="10"/>
  <c r="P173" i="10"/>
  <c r="O173" i="10"/>
  <c r="K173" i="10"/>
  <c r="J173" i="10"/>
  <c r="I173" i="10"/>
  <c r="C173" i="10"/>
  <c r="Z172" i="10"/>
  <c r="AA172" i="10" s="1"/>
  <c r="R172" i="10"/>
  <c r="R171" i="10" s="1"/>
  <c r="N171" i="10" s="1"/>
  <c r="P172" i="10"/>
  <c r="Q172" i="10" s="1"/>
  <c r="K172" i="10"/>
  <c r="J172" i="10"/>
  <c r="I172" i="10"/>
  <c r="O172" i="10" s="1"/>
  <c r="C172" i="10"/>
  <c r="P171" i="10"/>
  <c r="K171" i="10"/>
  <c r="J171" i="10"/>
  <c r="I171" i="10"/>
  <c r="O171" i="10" s="1"/>
  <c r="C171" i="10"/>
  <c r="K170" i="10"/>
  <c r="J170" i="10" s="1"/>
  <c r="I170" i="10"/>
  <c r="C170" i="10"/>
  <c r="K169" i="10"/>
  <c r="J169" i="10"/>
  <c r="I169" i="10"/>
  <c r="L170" i="10" s="1"/>
  <c r="C169" i="10"/>
  <c r="K168" i="10"/>
  <c r="J168" i="10" s="1"/>
  <c r="I168" i="10"/>
  <c r="C168" i="10"/>
  <c r="K167" i="10"/>
  <c r="J167" i="10"/>
  <c r="I167" i="10"/>
  <c r="C167" i="10"/>
  <c r="K166" i="10"/>
  <c r="J166" i="10" s="1"/>
  <c r="I166" i="10"/>
  <c r="C166" i="10"/>
  <c r="K165" i="10"/>
  <c r="J165" i="10"/>
  <c r="I165" i="10"/>
  <c r="C165" i="10"/>
  <c r="K164" i="10"/>
  <c r="J164" i="10" s="1"/>
  <c r="I164" i="10"/>
  <c r="C164" i="10"/>
  <c r="K163" i="10"/>
  <c r="J163" i="10"/>
  <c r="I163" i="10"/>
  <c r="C163" i="10"/>
  <c r="N162" i="10"/>
  <c r="R162" i="10" s="1"/>
  <c r="M162" i="10"/>
  <c r="L162" i="10"/>
  <c r="O162" i="10" s="1"/>
  <c r="K162" i="10"/>
  <c r="J162" i="10"/>
  <c r="I162" i="10"/>
  <c r="C162" i="10"/>
  <c r="K161" i="10"/>
  <c r="J161" i="10"/>
  <c r="I161" i="10"/>
  <c r="C161" i="10"/>
  <c r="K160" i="10"/>
  <c r="J160" i="10"/>
  <c r="I160" i="10"/>
  <c r="C160" i="10"/>
  <c r="K159" i="10"/>
  <c r="J159" i="10"/>
  <c r="I159" i="10"/>
  <c r="C159" i="10"/>
  <c r="N158" i="10"/>
  <c r="M158" i="10"/>
  <c r="L158" i="10"/>
  <c r="O158" i="10" s="1"/>
  <c r="K158" i="10"/>
  <c r="J158" i="10" s="1"/>
  <c r="I158" i="10"/>
  <c r="C158" i="10"/>
  <c r="K157" i="10"/>
  <c r="J157" i="10" s="1"/>
  <c r="I157" i="10"/>
  <c r="C157" i="10"/>
  <c r="K156" i="10"/>
  <c r="J156" i="10"/>
  <c r="I156" i="10"/>
  <c r="C156" i="10"/>
  <c r="K155" i="10"/>
  <c r="J155" i="10" s="1"/>
  <c r="I155" i="10"/>
  <c r="C155" i="10"/>
  <c r="R154" i="10"/>
  <c r="P154" i="10"/>
  <c r="N154" i="10"/>
  <c r="M154" i="10"/>
  <c r="L154" i="10"/>
  <c r="K154" i="10"/>
  <c r="J154" i="10"/>
  <c r="I154" i="10"/>
  <c r="C154" i="10"/>
  <c r="K153" i="10"/>
  <c r="J153" i="10"/>
  <c r="I153" i="10"/>
  <c r="C153" i="10"/>
  <c r="K152" i="10"/>
  <c r="J152" i="10"/>
  <c r="I152" i="10"/>
  <c r="C152" i="10"/>
  <c r="K151" i="10"/>
  <c r="J151" i="10" s="1"/>
  <c r="I151" i="10"/>
  <c r="C151" i="10"/>
  <c r="O150" i="10"/>
  <c r="M150" i="10"/>
  <c r="P150" i="10" s="1"/>
  <c r="Q150" i="10" s="1"/>
  <c r="L150" i="10"/>
  <c r="K150" i="10"/>
  <c r="J150" i="10"/>
  <c r="I150" i="10"/>
  <c r="C150" i="10"/>
  <c r="K149" i="10"/>
  <c r="J149" i="10"/>
  <c r="I149" i="10"/>
  <c r="C149" i="10"/>
  <c r="K148" i="10"/>
  <c r="J148" i="10"/>
  <c r="I148" i="10"/>
  <c r="C148" i="10"/>
  <c r="K147" i="10"/>
  <c r="J147" i="10"/>
  <c r="I147" i="10"/>
  <c r="C147" i="10"/>
  <c r="K146" i="10"/>
  <c r="J146" i="10" s="1"/>
  <c r="I146" i="10"/>
  <c r="C146" i="10"/>
  <c r="P145" i="10"/>
  <c r="O145" i="10"/>
  <c r="M145" i="10"/>
  <c r="L145" i="10"/>
  <c r="K145" i="10"/>
  <c r="J145" i="10"/>
  <c r="I145" i="10"/>
  <c r="C145" i="10"/>
  <c r="K144" i="10"/>
  <c r="J144" i="10"/>
  <c r="I144" i="10"/>
  <c r="C144" i="10"/>
  <c r="K143" i="10"/>
  <c r="J143" i="10"/>
  <c r="I143" i="10"/>
  <c r="C143" i="10"/>
  <c r="K142" i="10"/>
  <c r="J142" i="10"/>
  <c r="I142" i="10"/>
  <c r="C142" i="10"/>
  <c r="K141" i="10"/>
  <c r="J141" i="10"/>
  <c r="I141" i="10"/>
  <c r="C141" i="10"/>
  <c r="P140" i="10"/>
  <c r="M140" i="10"/>
  <c r="L140" i="10"/>
  <c r="O140" i="10" s="1"/>
  <c r="K140" i="10"/>
  <c r="J140" i="10" s="1"/>
  <c r="I140" i="10"/>
  <c r="C140" i="10"/>
  <c r="K139" i="10"/>
  <c r="J139" i="10" s="1"/>
  <c r="I139" i="10"/>
  <c r="C139" i="10"/>
  <c r="K138" i="10"/>
  <c r="J138" i="10"/>
  <c r="I138" i="10"/>
  <c r="C138" i="10"/>
  <c r="K137" i="10"/>
  <c r="J137" i="10" s="1"/>
  <c r="I137" i="10"/>
  <c r="C137" i="10"/>
  <c r="P136" i="10"/>
  <c r="Q136" i="10" s="1"/>
  <c r="O136" i="10"/>
  <c r="M136" i="10"/>
  <c r="L136" i="10"/>
  <c r="K136" i="10"/>
  <c r="J136" i="10"/>
  <c r="I136" i="10"/>
  <c r="C136" i="10"/>
  <c r="K135" i="10"/>
  <c r="J135" i="10"/>
  <c r="I135" i="10"/>
  <c r="C135" i="10"/>
  <c r="K134" i="10"/>
  <c r="J134" i="10" s="1"/>
  <c r="I134" i="10"/>
  <c r="C134" i="10"/>
  <c r="K133" i="10"/>
  <c r="J133" i="10"/>
  <c r="I133" i="10"/>
  <c r="C133" i="10"/>
  <c r="M132" i="10"/>
  <c r="L132" i="10"/>
  <c r="K132" i="10"/>
  <c r="J132" i="10"/>
  <c r="I132" i="10"/>
  <c r="C132" i="10"/>
  <c r="K131" i="10"/>
  <c r="J131" i="10"/>
  <c r="I131" i="10"/>
  <c r="C131" i="10"/>
  <c r="K130" i="10"/>
  <c r="J130" i="10"/>
  <c r="I130" i="10"/>
  <c r="C130" i="10"/>
  <c r="K129" i="10"/>
  <c r="J129" i="10"/>
  <c r="I129" i="10"/>
  <c r="C129" i="10"/>
  <c r="P128" i="10"/>
  <c r="O128" i="10"/>
  <c r="M128" i="10"/>
  <c r="L128" i="10"/>
  <c r="K128" i="10"/>
  <c r="J128" i="10"/>
  <c r="I128" i="10"/>
  <c r="C128" i="10"/>
  <c r="K127" i="10"/>
  <c r="J127" i="10"/>
  <c r="I127" i="10"/>
  <c r="C127" i="10"/>
  <c r="K126" i="10"/>
  <c r="J126" i="10"/>
  <c r="I126" i="10"/>
  <c r="C126" i="10"/>
  <c r="K125" i="10"/>
  <c r="J125" i="10"/>
  <c r="I125" i="10"/>
  <c r="C125" i="10"/>
  <c r="M124" i="10"/>
  <c r="P124" i="10" s="1"/>
  <c r="L124" i="10"/>
  <c r="O124" i="10" s="1"/>
  <c r="K124" i="10"/>
  <c r="J124" i="10" s="1"/>
  <c r="I124" i="10"/>
  <c r="C124" i="10"/>
  <c r="K123" i="10"/>
  <c r="J123" i="10" s="1"/>
  <c r="I123" i="10"/>
  <c r="C123" i="10"/>
  <c r="K122" i="10"/>
  <c r="J122" i="10" s="1"/>
  <c r="I122" i="10"/>
  <c r="C122" i="10"/>
  <c r="K121" i="10"/>
  <c r="J121" i="10" s="1"/>
  <c r="I121" i="10"/>
  <c r="C121" i="10"/>
  <c r="K120" i="10"/>
  <c r="J120" i="10" s="1"/>
  <c r="I120" i="10"/>
  <c r="C120" i="10"/>
  <c r="P119" i="10"/>
  <c r="Q119" i="10" s="1"/>
  <c r="O119" i="10"/>
  <c r="M119" i="10"/>
  <c r="L119" i="10"/>
  <c r="K119" i="10"/>
  <c r="J119" i="10"/>
  <c r="I119" i="10"/>
  <c r="C119" i="10"/>
  <c r="K118" i="10"/>
  <c r="J118" i="10" s="1"/>
  <c r="I118" i="10"/>
  <c r="C118" i="10"/>
  <c r="K117" i="10"/>
  <c r="J117" i="10"/>
  <c r="I117" i="10"/>
  <c r="C117" i="10"/>
  <c r="K116" i="10"/>
  <c r="J116" i="10" s="1"/>
  <c r="I116" i="10"/>
  <c r="C116" i="10"/>
  <c r="M115" i="10"/>
  <c r="L115" i="10"/>
  <c r="K115" i="10"/>
  <c r="J115" i="10"/>
  <c r="I115" i="10"/>
  <c r="C115" i="10"/>
  <c r="K114" i="10"/>
  <c r="J114" i="10"/>
  <c r="I114" i="10"/>
  <c r="C114" i="10"/>
  <c r="K113" i="10"/>
  <c r="J113" i="10"/>
  <c r="I113" i="10"/>
  <c r="C113" i="10"/>
  <c r="K112" i="10"/>
  <c r="J112" i="10"/>
  <c r="I112" i="10"/>
  <c r="C112" i="10"/>
  <c r="P111" i="10"/>
  <c r="Q111" i="10" s="1"/>
  <c r="O111" i="10"/>
  <c r="M111" i="10"/>
  <c r="L111" i="10"/>
  <c r="K111" i="10"/>
  <c r="J111" i="10"/>
  <c r="I111" i="10"/>
  <c r="C111" i="10"/>
  <c r="K110" i="10"/>
  <c r="J110" i="10"/>
  <c r="I110" i="10"/>
  <c r="C110" i="10"/>
  <c r="K109" i="10"/>
  <c r="J109" i="10"/>
  <c r="I109" i="10"/>
  <c r="C109" i="10"/>
  <c r="K108" i="10"/>
  <c r="J108" i="10"/>
  <c r="I108" i="10"/>
  <c r="C108" i="10"/>
  <c r="M107" i="10"/>
  <c r="L107" i="10"/>
  <c r="O107" i="10" s="1"/>
  <c r="K107" i="10"/>
  <c r="J107" i="10" s="1"/>
  <c r="I107" i="10"/>
  <c r="C107" i="10"/>
  <c r="K106" i="10"/>
  <c r="J106" i="10"/>
  <c r="I106" i="10"/>
  <c r="C106" i="10"/>
  <c r="K105" i="10"/>
  <c r="J105" i="10" s="1"/>
  <c r="I105" i="10"/>
  <c r="C105" i="10"/>
  <c r="K104" i="10"/>
  <c r="J104" i="10" s="1"/>
  <c r="I104" i="10"/>
  <c r="C104" i="10"/>
  <c r="M103" i="10"/>
  <c r="L103" i="10"/>
  <c r="O103" i="10" s="1"/>
  <c r="K103" i="10"/>
  <c r="J103" i="10"/>
  <c r="I103" i="10"/>
  <c r="C103" i="10"/>
  <c r="M102" i="10"/>
  <c r="L102" i="10"/>
  <c r="K102" i="10"/>
  <c r="J102" i="10"/>
  <c r="I102" i="10"/>
  <c r="C102" i="10"/>
  <c r="K101" i="10"/>
  <c r="J101" i="10"/>
  <c r="I101" i="10"/>
  <c r="C101" i="10"/>
  <c r="K100" i="10"/>
  <c r="J100" i="10"/>
  <c r="I100" i="10"/>
  <c r="C100" i="10"/>
  <c r="K99" i="10"/>
  <c r="J99" i="10"/>
  <c r="I99" i="10"/>
  <c r="C99" i="10"/>
  <c r="K98" i="10"/>
  <c r="J98" i="10"/>
  <c r="I98" i="10"/>
  <c r="C98" i="10"/>
  <c r="P97" i="10"/>
  <c r="K97" i="10"/>
  <c r="J97" i="10"/>
  <c r="I97" i="10"/>
  <c r="O97" i="10" s="1"/>
  <c r="C97" i="10"/>
  <c r="Z96" i="10"/>
  <c r="AA96" i="10" s="1"/>
  <c r="K96" i="10"/>
  <c r="J96" i="10"/>
  <c r="I96" i="10"/>
  <c r="C96" i="10"/>
  <c r="P95" i="10"/>
  <c r="Q95" i="10" s="1"/>
  <c r="K95" i="10"/>
  <c r="J95" i="10"/>
  <c r="I95" i="10"/>
  <c r="O95" i="10" s="1"/>
  <c r="C95" i="10"/>
  <c r="K94" i="10"/>
  <c r="J94" i="10"/>
  <c r="I94" i="10"/>
  <c r="C94" i="10"/>
  <c r="K93" i="10"/>
  <c r="J93" i="10"/>
  <c r="I93" i="10"/>
  <c r="C93" i="10"/>
  <c r="K92" i="10"/>
  <c r="J92" i="10"/>
  <c r="I92" i="10"/>
  <c r="C92" i="10"/>
  <c r="K91" i="10"/>
  <c r="J91" i="10"/>
  <c r="I91" i="10"/>
  <c r="C91" i="10"/>
  <c r="K90" i="10"/>
  <c r="J90" i="10"/>
  <c r="I90" i="10"/>
  <c r="C90" i="10"/>
  <c r="P89" i="10"/>
  <c r="O89" i="10"/>
  <c r="K89" i="10"/>
  <c r="J89" i="10" s="1"/>
  <c r="I89" i="10"/>
  <c r="C89" i="10"/>
  <c r="K88" i="10"/>
  <c r="J88" i="10"/>
  <c r="I88" i="10"/>
  <c r="C88" i="10"/>
  <c r="K87" i="10"/>
  <c r="J87" i="10" s="1"/>
  <c r="I87" i="10"/>
  <c r="C87" i="10"/>
  <c r="K86" i="10"/>
  <c r="J86" i="10"/>
  <c r="I86" i="10"/>
  <c r="C86" i="10"/>
  <c r="K85" i="10"/>
  <c r="J85" i="10" s="1"/>
  <c r="I85" i="10"/>
  <c r="C85" i="10"/>
  <c r="K84" i="10"/>
  <c r="J84" i="10"/>
  <c r="I84" i="10"/>
  <c r="C84" i="10"/>
  <c r="Q83" i="10"/>
  <c r="P83" i="10"/>
  <c r="O83" i="10"/>
  <c r="K83" i="10"/>
  <c r="J83" i="10" s="1"/>
  <c r="I83" i="10"/>
  <c r="C83" i="10"/>
  <c r="K82" i="10"/>
  <c r="J82" i="10"/>
  <c r="I82" i="10"/>
  <c r="C82" i="10"/>
  <c r="K81" i="10"/>
  <c r="J81" i="10" s="1"/>
  <c r="I81" i="10"/>
  <c r="C81" i="10"/>
  <c r="K80" i="10"/>
  <c r="J80" i="10"/>
  <c r="I80" i="10"/>
  <c r="C80" i="10"/>
  <c r="K79" i="10"/>
  <c r="J79" i="10" s="1"/>
  <c r="I79" i="10"/>
  <c r="C79" i="10"/>
  <c r="Z78" i="10"/>
  <c r="AA78" i="10" s="1"/>
  <c r="P78" i="10"/>
  <c r="Q78" i="10" s="1"/>
  <c r="O78" i="10"/>
  <c r="K78" i="10"/>
  <c r="J78" i="10"/>
  <c r="I78" i="10"/>
  <c r="C78" i="10"/>
  <c r="Z77" i="10"/>
  <c r="AA77" i="10" s="1"/>
  <c r="K77" i="10"/>
  <c r="J77" i="10"/>
  <c r="I77" i="10"/>
  <c r="C77" i="10"/>
  <c r="K76" i="10"/>
  <c r="J76" i="10"/>
  <c r="F76" i="10"/>
  <c r="E76" i="10"/>
  <c r="D76" i="10"/>
  <c r="C76" i="10"/>
  <c r="P75" i="10"/>
  <c r="I75" i="10"/>
  <c r="O75" i="10" s="1"/>
  <c r="F75" i="10"/>
  <c r="E75" i="10"/>
  <c r="E74" i="10" s="1"/>
  <c r="D75" i="10"/>
  <c r="D74" i="10" s="1"/>
  <c r="D73" i="10" s="1"/>
  <c r="C73" i="10" s="1"/>
  <c r="C75" i="10"/>
  <c r="V74" i="10"/>
  <c r="P74" i="10"/>
  <c r="F74" i="10"/>
  <c r="K74" i="10" s="1"/>
  <c r="J74" i="10" s="1"/>
  <c r="C74" i="10"/>
  <c r="L73" i="10"/>
  <c r="J73" i="10"/>
  <c r="K73" i="10" s="1"/>
  <c r="E73" i="10"/>
  <c r="L72" i="10"/>
  <c r="J72" i="10"/>
  <c r="K72" i="10" s="1"/>
  <c r="E72" i="10"/>
  <c r="D72" i="10"/>
  <c r="C72" i="10" s="1"/>
  <c r="L71" i="10"/>
  <c r="E71" i="10"/>
  <c r="E70" i="10" s="1"/>
  <c r="E69" i="10" s="1"/>
  <c r="E68" i="10" s="1"/>
  <c r="E67" i="10" s="1"/>
  <c r="E66" i="10" s="1"/>
  <c r="E65" i="10" s="1"/>
  <c r="E64" i="10" s="1"/>
  <c r="E63" i="10" s="1"/>
  <c r="E62" i="10" s="1"/>
  <c r="E61" i="10" s="1"/>
  <c r="E60" i="10" s="1"/>
  <c r="E59" i="10" s="1"/>
  <c r="E58" i="10" s="1"/>
  <c r="E57" i="10" s="1"/>
  <c r="E56" i="10" s="1"/>
  <c r="E55" i="10" s="1"/>
  <c r="E54" i="10" s="1"/>
  <c r="E53" i="10" s="1"/>
  <c r="E52" i="10" s="1"/>
  <c r="E51" i="10" s="1"/>
  <c r="E50" i="10" s="1"/>
  <c r="E49" i="10" s="1"/>
  <c r="E48" i="10" s="1"/>
  <c r="E47" i="10" s="1"/>
  <c r="E46" i="10" s="1"/>
  <c r="E45" i="10" s="1"/>
  <c r="E44" i="10" s="1"/>
  <c r="E43" i="10" s="1"/>
  <c r="E42" i="10" s="1"/>
  <c r="E41" i="10" s="1"/>
  <c r="E40" i="10" s="1"/>
  <c r="E39" i="10" s="1"/>
  <c r="E38" i="10" s="1"/>
  <c r="E37" i="10" s="1"/>
  <c r="E36" i="10" s="1"/>
  <c r="E35" i="10" s="1"/>
  <c r="E34" i="10" s="1"/>
  <c r="E33" i="10" s="1"/>
  <c r="E32" i="10" s="1"/>
  <c r="E31" i="10" s="1"/>
  <c r="E30" i="10" s="1"/>
  <c r="E29" i="10" s="1"/>
  <c r="E28" i="10" s="1"/>
  <c r="E27" i="10" s="1"/>
  <c r="E26" i="10" s="1"/>
  <c r="E25" i="10" s="1"/>
  <c r="E24" i="10" s="1"/>
  <c r="E23" i="10" s="1"/>
  <c r="E22" i="10" s="1"/>
  <c r="E21" i="10" s="1"/>
  <c r="E20" i="10" s="1"/>
  <c r="E19" i="10" s="1"/>
  <c r="E18" i="10" s="1"/>
  <c r="E17" i="10" s="1"/>
  <c r="E16" i="10" s="1"/>
  <c r="E15" i="10" s="1"/>
  <c r="D71" i="10"/>
  <c r="C71" i="10"/>
  <c r="L70" i="10"/>
  <c r="L69" i="10"/>
  <c r="L68" i="10"/>
  <c r="L67" i="10"/>
  <c r="L66" i="10"/>
  <c r="L65" i="10"/>
  <c r="L64" i="10"/>
  <c r="L63" i="10"/>
  <c r="L62" i="10"/>
  <c r="L61" i="10"/>
  <c r="L60" i="10"/>
  <c r="L59" i="10"/>
  <c r="L58" i="10"/>
  <c r="L57" i="10"/>
  <c r="L56" i="10"/>
  <c r="L55" i="10"/>
  <c r="L54" i="10"/>
  <c r="L53" i="10"/>
  <c r="L52" i="10"/>
  <c r="L51" i="10"/>
  <c r="L50" i="10"/>
  <c r="L49" i="10"/>
  <c r="L48" i="10"/>
  <c r="L47" i="10"/>
  <c r="L46" i="10"/>
  <c r="L45" i="10"/>
  <c r="L44" i="10"/>
  <c r="L43" i="10"/>
  <c r="L42" i="10"/>
  <c r="Q24" i="10"/>
  <c r="Q23" i="10"/>
  <c r="AB21" i="10"/>
  <c r="Q21" i="10"/>
  <c r="AB19" i="10"/>
  <c r="Q19" i="10"/>
  <c r="Q18" i="10"/>
  <c r="Q17" i="10"/>
  <c r="Q15" i="10"/>
  <c r="AB30" i="1"/>
  <c r="AC30" i="1" s="1"/>
  <c r="AA30" i="1"/>
  <c r="Z30" i="1"/>
  <c r="X30" i="1"/>
  <c r="W30" i="1"/>
  <c r="V30" i="1"/>
  <c r="U30" i="1"/>
  <c r="T30" i="1"/>
  <c r="Y30" i="1" s="1"/>
  <c r="S30" i="1"/>
  <c r="AC26" i="1"/>
  <c r="Y26" i="1"/>
  <c r="X26" i="1"/>
  <c r="W26" i="1"/>
  <c r="AA26" i="1" s="1"/>
  <c r="V26" i="1"/>
  <c r="Z26" i="1" s="1"/>
  <c r="U26" i="1"/>
  <c r="T26" i="1"/>
  <c r="AB26" i="1" s="1"/>
  <c r="S26" i="1"/>
  <c r="AA22" i="1"/>
  <c r="Z22" i="1"/>
  <c r="Y22" i="1"/>
  <c r="X22" i="1"/>
  <c r="W22" i="1"/>
  <c r="V22" i="1"/>
  <c r="U22" i="1"/>
  <c r="T22" i="1"/>
  <c r="AB22" i="1" s="1"/>
  <c r="AC22" i="1" s="1"/>
  <c r="S22" i="1"/>
  <c r="AB18" i="1"/>
  <c r="AC18" i="1" s="1"/>
  <c r="X18" i="1"/>
  <c r="W18" i="1"/>
  <c r="AA18" i="1" s="1"/>
  <c r="V18" i="1"/>
  <c r="Z18" i="1" s="1"/>
  <c r="U18" i="1"/>
  <c r="T18" i="1"/>
  <c r="Y18" i="1" s="1"/>
  <c r="S18" i="1"/>
  <c r="Z14" i="1"/>
  <c r="Y14" i="1"/>
  <c r="X14" i="1"/>
  <c r="W14" i="1"/>
  <c r="AA14" i="1" s="1"/>
  <c r="V14" i="1"/>
  <c r="U14" i="1"/>
  <c r="T14" i="1"/>
  <c r="AB14" i="1" s="1"/>
  <c r="AC14" i="1" s="1"/>
  <c r="S14" i="1"/>
  <c r="AC10" i="1"/>
  <c r="AA10" i="1"/>
  <c r="Z10" i="1"/>
  <c r="X10" i="1"/>
  <c r="W10" i="1"/>
  <c r="V10" i="1"/>
  <c r="U10" i="1"/>
  <c r="Y10" i="1" s="1"/>
  <c r="T10" i="1"/>
  <c r="AB10" i="1" s="1"/>
  <c r="S10" i="1"/>
  <c r="X6" i="1"/>
  <c r="W6" i="1"/>
  <c r="AA6" i="1" s="1"/>
  <c r="V6" i="1"/>
  <c r="Z6" i="1" s="1"/>
  <c r="U6" i="1"/>
  <c r="AB6" i="1" s="1"/>
  <c r="AC6" i="1" s="1"/>
  <c r="T6" i="1"/>
  <c r="S6" i="1"/>
  <c r="Q75" i="10" l="1"/>
  <c r="O77" i="10"/>
  <c r="L77" i="10" s="1"/>
  <c r="O76" i="10"/>
  <c r="Q223" i="10"/>
  <c r="P107" i="10"/>
  <c r="Q107" i="10" s="1"/>
  <c r="Q140" i="10"/>
  <c r="Q145" i="10"/>
  <c r="Q171" i="10"/>
  <c r="J243" i="10"/>
  <c r="Q193" i="10"/>
  <c r="Q124" i="10"/>
  <c r="Q173" i="10"/>
  <c r="P103" i="10"/>
  <c r="Q103" i="10" s="1"/>
  <c r="Q194" i="10"/>
  <c r="D70" i="10"/>
  <c r="J71" i="10"/>
  <c r="K71" i="10" s="1"/>
  <c r="Q233" i="10"/>
  <c r="Y6" i="1"/>
  <c r="Q89" i="10"/>
  <c r="Q128" i="10"/>
  <c r="P158" i="10"/>
  <c r="Q158" i="10" s="1"/>
  <c r="R158" i="10"/>
  <c r="W200" i="10"/>
  <c r="O102" i="10"/>
  <c r="I74" i="10"/>
  <c r="P102" i="10"/>
  <c r="Q102" i="10" s="1"/>
  <c r="P115" i="10"/>
  <c r="Q115" i="10" s="1"/>
  <c r="O132" i="10"/>
  <c r="O154" i="10"/>
  <c r="Q154" i="10" s="1"/>
  <c r="Q182" i="10"/>
  <c r="J207" i="10"/>
  <c r="O233" i="10"/>
  <c r="W233" i="10" s="1"/>
  <c r="J233" i="10"/>
  <c r="P132" i="10"/>
  <c r="Q132" i="10" s="1"/>
  <c r="J204" i="10"/>
  <c r="O228" i="10"/>
  <c r="Q228" i="10" s="1"/>
  <c r="J228" i="10"/>
  <c r="W243" i="10"/>
  <c r="O115" i="10"/>
  <c r="F73" i="10"/>
  <c r="F72" i="10" s="1"/>
  <c r="F71" i="10" s="1"/>
  <c r="F70" i="10" s="1"/>
  <c r="F69" i="10" s="1"/>
  <c r="F68" i="10" s="1"/>
  <c r="F67" i="10" s="1"/>
  <c r="F66" i="10" s="1"/>
  <c r="F65" i="10" s="1"/>
  <c r="F64" i="10" s="1"/>
  <c r="F63" i="10" s="1"/>
  <c r="F62" i="10" s="1"/>
  <c r="F61" i="10" s="1"/>
  <c r="F60" i="10" s="1"/>
  <c r="F59" i="10" s="1"/>
  <c r="F58" i="10" s="1"/>
  <c r="F57" i="10" s="1"/>
  <c r="F56" i="10" s="1"/>
  <c r="F55" i="10" s="1"/>
  <c r="F54" i="10" s="1"/>
  <c r="F53" i="10" s="1"/>
  <c r="F52" i="10" s="1"/>
  <c r="F51" i="10" s="1"/>
  <c r="F50" i="10" s="1"/>
  <c r="F49" i="10" s="1"/>
  <c r="F48" i="10" s="1"/>
  <c r="F47" i="10" s="1"/>
  <c r="F46" i="10" s="1"/>
  <c r="F45" i="10" s="1"/>
  <c r="F44" i="10" s="1"/>
  <c r="F43" i="10" s="1"/>
  <c r="F42" i="10" s="1"/>
  <c r="F41" i="10" s="1"/>
  <c r="K75" i="10"/>
  <c r="J75" i="10" s="1"/>
  <c r="I76" i="10"/>
  <c r="Q97" i="10"/>
  <c r="P162" i="10"/>
  <c r="Q162" i="10" s="1"/>
  <c r="Q177" i="10"/>
  <c r="Q199" i="10"/>
  <c r="J214" i="10"/>
  <c r="F286" i="10"/>
  <c r="J70" i="10" l="1"/>
  <c r="K70" i="10" s="1"/>
  <c r="D69" i="10"/>
  <c r="C70" i="10"/>
  <c r="W74" i="10"/>
  <c r="O74" i="10"/>
  <c r="Q74" i="10" s="1"/>
  <c r="L76" i="10"/>
  <c r="F40" i="10"/>
  <c r="W228" i="10"/>
  <c r="F39" i="10" l="1"/>
  <c r="J69" i="10"/>
  <c r="K69" i="10" s="1"/>
  <c r="C69" i="10"/>
  <c r="D68" i="10"/>
  <c r="J68" i="10" l="1"/>
  <c r="K68" i="10" s="1"/>
  <c r="D67" i="10"/>
  <c r="C68" i="10"/>
  <c r="F38" i="10"/>
  <c r="F37" i="10" l="1"/>
  <c r="D66" i="10"/>
  <c r="J67" i="10"/>
  <c r="K67" i="10" s="1"/>
  <c r="C67" i="10"/>
  <c r="D65" i="10" l="1"/>
  <c r="C66" i="10"/>
  <c r="J66" i="10"/>
  <c r="K66" i="10" s="1"/>
  <c r="F36" i="10"/>
  <c r="F35" i="10" l="1"/>
  <c r="C65" i="10"/>
  <c r="J65" i="10"/>
  <c r="K65" i="10" s="1"/>
  <c r="D64" i="10"/>
  <c r="C64" i="10" l="1"/>
  <c r="J64" i="10"/>
  <c r="K64" i="10" s="1"/>
  <c r="D63" i="10"/>
  <c r="F34" i="10"/>
  <c r="C63" i="10" l="1"/>
  <c r="D62" i="10"/>
  <c r="J63" i="10"/>
  <c r="K63" i="10" s="1"/>
  <c r="F33" i="10"/>
  <c r="F32" i="10" l="1"/>
  <c r="C62" i="10"/>
  <c r="D61" i="10"/>
  <c r="J62" i="10"/>
  <c r="K62" i="10" s="1"/>
  <c r="J61" i="10" l="1"/>
  <c r="K61" i="10" s="1"/>
  <c r="D60" i="10"/>
  <c r="C61" i="10"/>
  <c r="F31" i="10"/>
  <c r="F30" i="10" l="1"/>
  <c r="J60" i="10"/>
  <c r="K60" i="10" s="1"/>
  <c r="C60" i="10"/>
  <c r="D59" i="10"/>
  <c r="D58" i="10" l="1"/>
  <c r="J59" i="10"/>
  <c r="K59" i="10" s="1"/>
  <c r="C59" i="10"/>
  <c r="F29" i="10"/>
  <c r="F28" i="10" l="1"/>
  <c r="D57" i="10"/>
  <c r="J58" i="10"/>
  <c r="K58" i="10" s="1"/>
  <c r="C58" i="10"/>
  <c r="C57" i="10" l="1"/>
  <c r="J57" i="10"/>
  <c r="K57" i="10" s="1"/>
  <c r="D56" i="10"/>
  <c r="F27" i="10"/>
  <c r="F26" i="10" l="1"/>
  <c r="C56" i="10"/>
  <c r="D55" i="10"/>
  <c r="J56" i="10"/>
  <c r="K56" i="10" s="1"/>
  <c r="D54" i="10" l="1"/>
  <c r="J55" i="10"/>
  <c r="K55" i="10" s="1"/>
  <c r="C55" i="10"/>
  <c r="F25" i="10"/>
  <c r="F24" i="10" l="1"/>
  <c r="J54" i="10"/>
  <c r="K54" i="10" s="1"/>
  <c r="D53" i="10"/>
  <c r="C54" i="10"/>
  <c r="J53" i="10" l="1"/>
  <c r="K53" i="10" s="1"/>
  <c r="C53" i="10"/>
  <c r="D52" i="10"/>
  <c r="F23" i="10"/>
  <c r="F22" i="10" l="1"/>
  <c r="J52" i="10"/>
  <c r="K52" i="10" s="1"/>
  <c r="D51" i="10"/>
  <c r="C52" i="10"/>
  <c r="D50" i="10" l="1"/>
  <c r="J51" i="10"/>
  <c r="K51" i="10" s="1"/>
  <c r="C51" i="10"/>
  <c r="F21" i="10"/>
  <c r="F20" i="10" l="1"/>
  <c r="D49" i="10"/>
  <c r="C50" i="10"/>
  <c r="J50" i="10"/>
  <c r="K50" i="10" s="1"/>
  <c r="C49" i="10" l="1"/>
  <c r="D48" i="10"/>
  <c r="J49" i="10"/>
  <c r="K49" i="10" s="1"/>
  <c r="F19" i="10"/>
  <c r="F18" i="10" l="1"/>
  <c r="C48" i="10"/>
  <c r="J48" i="10"/>
  <c r="K48" i="10" s="1"/>
  <c r="D47" i="10"/>
  <c r="C47" i="10" l="1"/>
  <c r="J47" i="10"/>
  <c r="K47" i="10" s="1"/>
  <c r="D46" i="10"/>
  <c r="F17" i="10"/>
  <c r="F16" i="10" l="1"/>
  <c r="C46" i="10"/>
  <c r="J46" i="10"/>
  <c r="K46" i="10" s="1"/>
  <c r="D45" i="10"/>
  <c r="J45" i="10" l="1"/>
  <c r="K45" i="10" s="1"/>
  <c r="D44" i="10"/>
  <c r="C45" i="10"/>
  <c r="F15" i="10"/>
  <c r="J44" i="10" l="1"/>
  <c r="K44" i="10" s="1"/>
  <c r="C44" i="10"/>
  <c r="D43" i="10"/>
  <c r="D42" i="10" l="1"/>
  <c r="J43" i="10"/>
  <c r="K43" i="10" s="1"/>
  <c r="C43" i="10"/>
  <c r="J42" i="10" l="1"/>
  <c r="K42" i="10" s="1"/>
  <c r="D41" i="10"/>
  <c r="C42" i="10"/>
  <c r="D40" i="10" l="1"/>
  <c r="C41" i="10"/>
  <c r="I41" i="10"/>
  <c r="J41" i="10" l="1"/>
  <c r="K41" i="10" s="1"/>
  <c r="L41" i="10"/>
  <c r="Y41" i="10" s="1"/>
  <c r="Z41" i="10" s="1"/>
  <c r="C40" i="10"/>
  <c r="D39" i="10"/>
  <c r="I40" i="10"/>
  <c r="J40" i="10" l="1"/>
  <c r="K40" i="10" s="1"/>
  <c r="L40" i="10"/>
  <c r="C39" i="10"/>
  <c r="D38" i="10"/>
  <c r="I39" i="10"/>
  <c r="D37" i="10" l="1"/>
  <c r="C38" i="10"/>
  <c r="I38" i="10"/>
  <c r="L39" i="10"/>
  <c r="J39" i="10"/>
  <c r="K39" i="10" s="1"/>
  <c r="J38" i="10" l="1"/>
  <c r="K38" i="10" s="1"/>
  <c r="L38" i="10"/>
  <c r="D36" i="10"/>
  <c r="C37" i="10"/>
  <c r="I37" i="10"/>
  <c r="J37" i="10" l="1"/>
  <c r="K37" i="10" s="1"/>
  <c r="L37" i="10"/>
  <c r="C36" i="10"/>
  <c r="D35" i="10"/>
  <c r="I36" i="10"/>
  <c r="C35" i="10" l="1"/>
  <c r="D34" i="10"/>
  <c r="I35" i="10"/>
  <c r="J36" i="10"/>
  <c r="K36" i="10" s="1"/>
  <c r="L36" i="10"/>
  <c r="L35" i="10" l="1"/>
  <c r="J35" i="10"/>
  <c r="K35" i="10" s="1"/>
  <c r="D33" i="10"/>
  <c r="C34" i="10"/>
  <c r="I34" i="10"/>
  <c r="J34" i="10" l="1"/>
  <c r="K34" i="10" s="1"/>
  <c r="L34" i="10"/>
  <c r="D32" i="10"/>
  <c r="C33" i="10"/>
  <c r="I33" i="10"/>
  <c r="J33" i="10" l="1"/>
  <c r="K33" i="10" s="1"/>
  <c r="L33" i="10"/>
  <c r="C32" i="10"/>
  <c r="D31" i="10"/>
  <c r="I32" i="10"/>
  <c r="C31" i="10" l="1"/>
  <c r="D30" i="10"/>
  <c r="I31" i="10"/>
  <c r="J32" i="10"/>
  <c r="K32" i="10" s="1"/>
  <c r="L32" i="10"/>
  <c r="L31" i="10" l="1"/>
  <c r="J31" i="10"/>
  <c r="K31" i="10" s="1"/>
  <c r="C30" i="10"/>
  <c r="D29" i="10"/>
  <c r="I30" i="10"/>
  <c r="J30" i="10" l="1"/>
  <c r="K30" i="10" s="1"/>
  <c r="L30" i="10"/>
  <c r="Y30" i="10" s="1"/>
  <c r="Z30" i="10" s="1"/>
  <c r="D28" i="10"/>
  <c r="C29" i="10"/>
  <c r="I29" i="10"/>
  <c r="J29" i="10" l="1"/>
  <c r="K29" i="10" s="1"/>
  <c r="L29" i="10"/>
  <c r="D27" i="10"/>
  <c r="C28" i="10"/>
  <c r="I28" i="10"/>
  <c r="J28" i="10" l="1"/>
  <c r="K28" i="10" s="1"/>
  <c r="L28" i="10"/>
  <c r="C27" i="10"/>
  <c r="D26" i="10"/>
  <c r="I27" i="10"/>
  <c r="C26" i="10" l="1"/>
  <c r="D25" i="10"/>
  <c r="I26" i="10"/>
  <c r="J27" i="10"/>
  <c r="K27" i="10" s="1"/>
  <c r="L27" i="10"/>
  <c r="L26" i="10" l="1"/>
  <c r="Y26" i="10" s="1"/>
  <c r="Z26" i="10" s="1"/>
  <c r="J26" i="10"/>
  <c r="K26" i="10" s="1"/>
  <c r="D24" i="10"/>
  <c r="C25" i="10"/>
  <c r="I25" i="10"/>
  <c r="C24" i="10" l="1"/>
  <c r="D23" i="10"/>
  <c r="I24" i="10"/>
  <c r="L25" i="10"/>
  <c r="J25" i="10"/>
  <c r="K25" i="10" s="1"/>
  <c r="L24" i="10" l="1"/>
  <c r="M24" i="10" s="1"/>
  <c r="J24" i="10"/>
  <c r="K24" i="10" s="1"/>
  <c r="C23" i="10"/>
  <c r="D22" i="10"/>
  <c r="I23" i="10"/>
  <c r="L23" i="10" l="1"/>
  <c r="M23" i="10" s="1"/>
  <c r="J23" i="10"/>
  <c r="K23" i="10" s="1"/>
  <c r="C22" i="10"/>
  <c r="D21" i="10"/>
  <c r="I22" i="10"/>
  <c r="C21" i="10" l="1"/>
  <c r="D20" i="10"/>
  <c r="I21" i="10"/>
  <c r="J22" i="10"/>
  <c r="K22" i="10" s="1"/>
  <c r="L22" i="10"/>
  <c r="L21" i="10" l="1"/>
  <c r="J21" i="10"/>
  <c r="K21" i="10" s="1"/>
  <c r="C20" i="10"/>
  <c r="D19" i="10"/>
  <c r="I20" i="10"/>
  <c r="L20" i="10" l="1"/>
  <c r="J20" i="10"/>
  <c r="K20" i="10" s="1"/>
  <c r="C19" i="10"/>
  <c r="D18" i="10"/>
  <c r="I19" i="10"/>
  <c r="M21" i="10"/>
  <c r="Y21" i="10"/>
  <c r="Z21" i="10" s="1"/>
  <c r="J19" i="10" l="1"/>
  <c r="K19" i="10" s="1"/>
  <c r="L19" i="10"/>
  <c r="D17" i="10"/>
  <c r="C18" i="10"/>
  <c r="I18" i="10"/>
  <c r="L18" i="10" l="1"/>
  <c r="M18" i="10" s="1"/>
  <c r="J18" i="10"/>
  <c r="K18" i="10" s="1"/>
  <c r="D16" i="10"/>
  <c r="C17" i="10"/>
  <c r="I17" i="10"/>
  <c r="M19" i="10"/>
  <c r="Y19" i="10"/>
  <c r="Z19" i="10" s="1"/>
  <c r="L17" i="10" l="1"/>
  <c r="M17" i="10" s="1"/>
  <c r="J17" i="10"/>
  <c r="K17" i="10" s="1"/>
  <c r="C16" i="10"/>
  <c r="D15" i="10"/>
  <c r="I16" i="10"/>
  <c r="C15" i="10" l="1"/>
  <c r="I15" i="10"/>
  <c r="L16" i="10"/>
  <c r="J16" i="10"/>
  <c r="K16" i="10" s="1"/>
  <c r="L15" i="10" l="1"/>
  <c r="M15" i="10" s="1"/>
  <c r="J15" i="10"/>
  <c r="K15" i="10" s="1"/>
</calcChain>
</file>

<file path=xl/sharedStrings.xml><?xml version="1.0" encoding="utf-8"?>
<sst xmlns="http://schemas.openxmlformats.org/spreadsheetml/2006/main" count="561" uniqueCount="190">
  <si>
    <t>FN</t>
  </si>
  <si>
    <t>DIV</t>
  </si>
  <si>
    <t>PS</t>
  </si>
  <si>
    <t>PCF</t>
  </si>
  <si>
    <t>MPF</t>
  </si>
  <si>
    <t>CPNT</t>
  </si>
  <si>
    <t>LO</t>
  </si>
  <si>
    <t>MRG</t>
  </si>
  <si>
    <t>G</t>
  </si>
  <si>
    <t>CG</t>
  </si>
  <si>
    <t>C</t>
  </si>
  <si>
    <t>CD</t>
  </si>
  <si>
    <t>D</t>
  </si>
  <si>
    <t>Total</t>
  </si>
  <si>
    <t>TG</t>
  </si>
  <si>
    <t>TD</t>
  </si>
  <si>
    <t>GCG</t>
  </si>
  <si>
    <t>DCD</t>
  </si>
  <si>
    <t>Elections européennes 1994</t>
  </si>
  <si>
    <t>Elections européennes 1999</t>
  </si>
  <si>
    <t>Elections européennes 2004</t>
  </si>
  <si>
    <t>Elections européennes 2009</t>
  </si>
  <si>
    <t>Elections européennes 2014</t>
  </si>
  <si>
    <t>Elections européennes 2019</t>
  </si>
  <si>
    <t>Elections européennes 2024</t>
  </si>
  <si>
    <t>PT</t>
  </si>
  <si>
    <t>MDC</t>
  </si>
  <si>
    <t>VE</t>
  </si>
  <si>
    <t>GE</t>
  </si>
  <si>
    <t>Séries sur la répartition des votes par courant politique aux élections européennes</t>
  </si>
  <si>
    <t>Vote par courant politique (fichiers eurXXXXdep)</t>
  </si>
  <si>
    <t>Vote par courant politique (fichiers eurXXXXcomm)</t>
  </si>
  <si>
    <t>MEI</t>
  </si>
  <si>
    <t>UDF</t>
  </si>
  <si>
    <t>RPR</t>
  </si>
  <si>
    <t>DVD</t>
  </si>
  <si>
    <t>MNR</t>
  </si>
  <si>
    <t>UMP</t>
  </si>
  <si>
    <t>REG</t>
  </si>
  <si>
    <t>FG</t>
  </si>
  <si>
    <t>DVG</t>
  </si>
  <si>
    <t>EE</t>
  </si>
  <si>
    <t>MDM</t>
  </si>
  <si>
    <t>LFI</t>
  </si>
  <si>
    <t>GEN</t>
  </si>
  <si>
    <t>ECO</t>
  </si>
  <si>
    <t>REN</t>
  </si>
  <si>
    <t>UDI</t>
  </si>
  <si>
    <t>LR</t>
  </si>
  <si>
    <t>DLF</t>
  </si>
  <si>
    <t>FRE</t>
  </si>
  <si>
    <t>RN</t>
  </si>
  <si>
    <t>JAU</t>
  </si>
  <si>
    <t>PAT</t>
  </si>
  <si>
    <t>Séries nationales sur la participation électorale</t>
  </si>
  <si>
    <t>Population disposant du droit de vote</t>
  </si>
  <si>
    <t>Elections législatives</t>
  </si>
  <si>
    <t>Elections présidentielles</t>
  </si>
  <si>
    <t>Référendums</t>
  </si>
  <si>
    <t>Participation aux autres élections (votants/inscrits, 1er tour)</t>
  </si>
  <si>
    <t>Population totale</t>
  </si>
  <si>
    <t>Population adulte (18+)</t>
  </si>
  <si>
    <t>Proportion d'adultes (18+)</t>
  </si>
  <si>
    <t>Proportion d'hommes adultes (18+)</t>
  </si>
  <si>
    <t>Proportion d'étrangers</t>
  </si>
  <si>
    <t>Proportion dep57-67-68 (exclus du territoire nationale en 1871-1918)</t>
  </si>
  <si>
    <t>Proportion dep06-73-74 (exclus du territoire national en 1815-1859)</t>
  </si>
  <si>
    <t>Part de la population adulte disposant du droit de vote</t>
  </si>
  <si>
    <t>Part de la population adulte masculine disposant du droit de vote</t>
  </si>
  <si>
    <t>Electeurs inscrits</t>
  </si>
  <si>
    <t>Votants</t>
  </si>
  <si>
    <t>Exprimés</t>
  </si>
  <si>
    <t>Inscrits/ Population disposant du droit de vote</t>
  </si>
  <si>
    <t>Participation: votants/ inscrits</t>
  </si>
  <si>
    <t>Participation effective: votants/ population disposant du droit de vote</t>
  </si>
  <si>
    <t>Vote blanc: blancs/ votants</t>
  </si>
  <si>
    <t>Oui/ Exprimés</t>
  </si>
  <si>
    <t>Municipales</t>
  </si>
  <si>
    <t>Régionales</t>
  </si>
  <si>
    <t>Européennes</t>
  </si>
  <si>
    <t>Sources et méthodes utilisées pour la population disposant du droit de vote</t>
  </si>
  <si>
    <r>
      <rPr>
        <b/>
        <sz val="12"/>
        <color theme="1"/>
        <rFont val="Arial"/>
        <family val="2"/>
      </rPr>
      <t>1789-1815</t>
    </r>
    <r>
      <rPr>
        <sz val="12"/>
        <color theme="1"/>
        <rFont val="Arial"/>
        <family val="2"/>
      </rPr>
      <t>: suffrage semi-universel masculin avec règles fluctuantes: droit de vote pour les hommes 25+ domiciliés et inscrits dans les rôles (environ 70% des hommes 25+) en 1789; puis pour les hommes 25+ domiciliés et acquittant au moins 3 journées de travail (environ 60% des hommes 25+) en 1790-1791; puis pour les hommes 21+ domiciliés (toujours non domestiques) en 1792 (environ 80% des hommes 21+); puis pour tous les hommes 21+ domiciliés (conditions moins strictes) (environ 90% des hommes 21+) en 1793-1794; puis pour les hommes 21+ domiciliés acquittant une contribution minimale (environ 70% des hommes 21+) en 1795-1799 (voir M. Edelstein, 2013, en particulier p.413-415 et p.470-472; voir également S. Aberdam 2001, 2005); puis pour les hommes 21+ avec un an de résidence et sans contribution minimale en 1799-1815 (environ 85% des 21+) (pour les référendums) (population des 18-25 ans puis des 18-21 ans estimée en appliquant un coefficient 6/18 puis 3/18 à la population 0-18 ans et un coefficient supplémentaire de 0,9 pour prendre en compte la mortalité; calcul effectué sur le base des premiers recensements avec données détaillées par âge)</t>
    </r>
  </si>
  <si>
    <r>
      <rPr>
        <b/>
        <sz val="12"/>
        <color theme="1"/>
        <rFont val="Arial"/>
        <family val="2"/>
      </rPr>
      <t>1815-1848</t>
    </r>
    <r>
      <rPr>
        <sz val="12"/>
        <color theme="1"/>
        <rFont val="Arial"/>
        <family val="2"/>
      </rPr>
      <t xml:space="preserve">: suffrage censitaire avec règles fluctuantes; 90k 1815-1817, 100k 1818-1830, 160k 1831-1836, 200k 1837-1841, 250k 1842-1847 (voir L. Muel, Précis historique des assemblées parlementaires, 1896, p.202; voir aussi J; Godechot 1995, p.215-216 et T. Piketty 2019 graphique 5.3). Note: pour 1802-1815 on pourrait aussi adopter la perspective des élections législatives de Muel et considérer que le nombre d'électeurs est limité à environ 54k électeurs (89 départements x 600 électeurs les plus imposés par département; voir J. Godechot, Les constitutions de la France depuis 1789, 1995 p.165 sur la constitution de 1802: seuls les 600 contribuables les plus imposés de chaque département peuvent faire partie des collèges départementaux élisant les membres du Corps législatif, avec validation par le premier consul puis l'empereur);  </t>
    </r>
  </si>
  <si>
    <r>
      <rPr>
        <b/>
        <sz val="12"/>
        <color theme="1"/>
        <rFont val="Arial"/>
        <family val="2"/>
      </rPr>
      <t>1848-2022</t>
    </r>
    <r>
      <rPr>
        <sz val="12"/>
        <color theme="1"/>
        <rFont val="Arial"/>
        <family val="2"/>
      </rPr>
      <t>: suffrage quasi-universel masculin (1848-1943) puis masculin+féminin (1944-2022); calculs à partir des séries démographiques (voir doAnnexeA1participation.txt et formules) et des règles en vigueur: droit de vote pour les hommes 21+ de nationalité française 1848-1943 (sauf 1850-1851: 30% des hommes 21+ de nationalité française ne sont pas éligibles à la suite de la loi du 31/5/1850: conditions de résidence et d'impôt local), hommmes+femmes 21+ de nationalité française 1944-1974, hommes + femmes 18+ de nationalité française 1975-2022 (avec prise en compte du fait que la proportition d'hommes est légèrement majoritaire parmi les étrangers: environ 55% jusqu'en 1990, puis baisse quasi-linéraire entre 1990 et 2010 environ, puis stabilisation à 51%) (+facteur correctif 1,015 prenant en compte le fait que les étrangers sont plus nombreux dans les zones où la proportion 18+ est plus faible; voir calculs au niveau communal dans doAnnexeC3inscriptionlegislativecommunes)</t>
    </r>
  </si>
  <si>
    <t>Sources utilisées pour les élections législatives (électeurs inscrits, votants, exprimés)</t>
  </si>
  <si>
    <r>
      <rPr>
        <b/>
        <sz val="12"/>
        <color theme="1"/>
        <rFont val="Arial"/>
        <family val="2"/>
      </rPr>
      <t>1993-1997-2002-2007-2012-2017-2022</t>
    </r>
    <r>
      <rPr>
        <sz val="12"/>
        <color theme="1"/>
        <rFont val="Arial"/>
        <family val="2"/>
      </rPr>
      <t>: fichiers legXXXX + vérification manuelle des totaux métropolitains dans les sources utilisées pour construire ces fichiers (fichiers Ministère de l'intérieur diffusés sur data.gouv.fr)</t>
    </r>
  </si>
  <si>
    <r>
      <rPr>
        <b/>
        <sz val="12"/>
        <color theme="1"/>
        <rFont val="Arial"/>
        <family val="2"/>
      </rPr>
      <t>1958-1962-1967-1968-1973-1978-1981-1988</t>
    </r>
    <r>
      <rPr>
        <sz val="12"/>
        <color theme="1"/>
        <rFont val="Arial"/>
        <family val="2"/>
      </rPr>
      <t>: fichiers legXXXX + vérification manuelle des totaux métropolitains dans les sources utilisées pour construire ces fichiers (fichiers CDSP établis à partir des Livres blancs)</t>
    </r>
  </si>
  <si>
    <r>
      <rPr>
        <b/>
        <sz val="12"/>
        <color theme="1"/>
        <rFont val="Arial"/>
        <family val="2"/>
      </rPr>
      <t>1946-1951-1956</t>
    </r>
    <r>
      <rPr>
        <sz val="12"/>
        <color theme="1"/>
        <rFont val="Arial"/>
        <family val="2"/>
      </rPr>
      <t xml:space="preserve"> : fichiers legXXXX + vérification des totaux métropolitaines dans les sources utilisées pour construire ces fichiers (Husson pour 1946, Livres blancs pour 1951-1956) (quelques minuscules écarts; chiffres retenus = fichiers)</t>
    </r>
  </si>
  <si>
    <r>
      <rPr>
        <b/>
        <sz val="12"/>
        <color theme="1"/>
        <rFont val="Arial"/>
        <family val="2"/>
      </rPr>
      <t>1945</t>
    </r>
    <r>
      <rPr>
        <sz val="12"/>
        <color theme="1"/>
        <rFont val="Arial"/>
        <family val="2"/>
      </rPr>
      <t>: totaux métropolitains repris du Tableau électoral de 1945</t>
    </r>
  </si>
  <si>
    <r>
      <rPr>
        <b/>
        <sz val="12"/>
        <color theme="1"/>
        <rFont val="Arial"/>
        <family val="2"/>
      </rPr>
      <t>1946b</t>
    </r>
    <r>
      <rPr>
        <sz val="12"/>
        <color theme="1"/>
        <rFont val="Arial"/>
        <family val="2"/>
      </rPr>
      <t xml:space="preserve"> (élections du 10 novembre 1946, indiquées ici sur la ligne 1947, par opposition aux élections du 2 juin 1946, indiquées ici sur la ligne 1946): Salmon 2018 p.126</t>
    </r>
  </si>
  <si>
    <r>
      <rPr>
        <b/>
        <sz val="12"/>
        <color theme="1"/>
        <rFont val="Arial"/>
        <family val="2"/>
      </rPr>
      <t>1848-1849-1876-1877-1881-1885-1889-1893-1898-1902-1906-1910-1914-1919-1924-1928-1932-1936</t>
    </r>
    <r>
      <rPr>
        <sz val="12"/>
        <color theme="1"/>
        <rFont val="Arial"/>
        <family val="2"/>
      </rPr>
      <t xml:space="preserve"> : fichiers legXXX + vérification manuelle des totaux métropolitaines dans les sources utilisées pour construire ces fichiers (Tableaux électoraux) (quelques minuscules écarts; chiffres retenus = Tableaux électoraux)</t>
    </r>
  </si>
  <si>
    <r>
      <rPr>
        <b/>
        <sz val="12"/>
        <color theme="1"/>
        <rFont val="Arial"/>
        <family val="2"/>
      </rPr>
      <t>1852-1857-1863-1869-1871</t>
    </r>
    <r>
      <rPr>
        <sz val="12"/>
        <color theme="1"/>
        <rFont val="Arial"/>
        <family val="2"/>
      </rPr>
      <t>: L. Muel, Précis historique des assemblées parlementaires, 1896, p.202-204 (Muel ne fournit pas de décomposition départementale et incluent peut-être tout ou partie des colonies (très faibles effectifs dans tous les cas); les chiffres sont très proches des totaux métropolitains donnés par Salmon 2018 (eux-mêmes imparfaitement sourcés cependant)</t>
    </r>
  </si>
  <si>
    <t>Notes: (i) Les chiffres nationaux 1852-1857-1863-1869-1871 pourraient être vérifiés avec les Tableaux électoraux (ou leur équivalent), qui malheureuseument décrivent uniquement les résultats par circonscription et département (et uniquement les noms des élus et non les résultats pour 1871) et ne comprennenant pas de récapitulation départementale, d'où l'utilisation provisoire de Muel 1896 (travail d'un attaché au Sénat sur la base des "documents officiels")</t>
  </si>
  <si>
    <t>(ii) Les données sur le total des inscrits et des votants sont absentes pour 29 départements dans le Tableau électoral 1848. Les estimations nationales indiquées ici pour 1848 font l'hypothèse pour ces départements manquants d'un ratio moyen 1848/1849 à celui observé pour le total des inscrits et des votants dans les 57 départements couverts dans les deux cas. Toutes les données nationales relatives aux législatives de 1848 font une hypothèse similaire (plus ou moins explicitée; voir en particulier Muel 1896 et Salmon 1901)</t>
  </si>
  <si>
    <t>(iii) Les suffrages blancs et nuls sont absents des récapitulations départementales des Tableaux électoraux 1848-1945 (ils sont uniquement mentionnés dans les résultats par circonscription, parfois regroupés avec les petits candidats); les chiffres issus des fichiers sont repris ici quand ils sont disponibles</t>
  </si>
  <si>
    <r>
      <rPr>
        <b/>
        <sz val="12"/>
        <color theme="1"/>
        <rFont val="Arial"/>
        <family val="2"/>
      </rPr>
      <t>1789-1791-1792-1793-1797-1798</t>
    </r>
    <r>
      <rPr>
        <sz val="12"/>
        <color theme="1"/>
        <rFont val="Arial"/>
        <family val="2"/>
      </rPr>
      <t>: taux de participation aux Etats généraux de 1789 (35%), aux législatives de 1791 (28%) et 1792 (25%), aux référendums de 1793 (37%) et 1795 (22%), et aux législatives de 1797 (25%) et 1798 (21%) estimés par Edelstein 2013 (voir en particulier p.50 (participation 1789 estimée à 34%-36% au sein du Tiers Etat), p.345-349 (participation 1791 estimée à 28%-29%), p.417-419 (participation 1792 estimée à 20%-25%), p.472 (participation 1793 estimée à 35%-38%), p.487 (participation 1795 estimée à 21%-24%), p.513 (participations 1797 et 1798 estimées à 25% et 21%; selon Edelstein la participation a même pu tomber à 13% et 14% lors des législatives de 1795 et 1799) (voir également p.174 et p.198-201 sur la participation dépassant 50% aux municipales et cantonales de 1790)</t>
    </r>
  </si>
  <si>
    <t>(voir plus haut sur les nombres d'inscrits et de votants)</t>
  </si>
  <si>
    <t>inscrits</t>
  </si>
  <si>
    <t>votants</t>
  </si>
  <si>
    <t>exprimes</t>
  </si>
  <si>
    <t>votants/inscrits</t>
  </si>
  <si>
    <t>Fichier leg1936dep</t>
  </si>
  <si>
    <t>Tableau électoral 1936</t>
  </si>
  <si>
    <t>TE1936/leg1936dep</t>
  </si>
  <si>
    <t>Fichier leg1932dep</t>
  </si>
  <si>
    <t>Tableau électoral 1932</t>
  </si>
  <si>
    <t>TE1932/leg1932dep</t>
  </si>
  <si>
    <t>Fichier leg1928dep</t>
  </si>
  <si>
    <t>Tableau électoral 1928</t>
  </si>
  <si>
    <t>TE1928/leg1928dep</t>
  </si>
  <si>
    <t>Fichier leg1924dep</t>
  </si>
  <si>
    <t>Tableau électoral 1924</t>
  </si>
  <si>
    <t>TE1924/leg1924dep</t>
  </si>
  <si>
    <t>Fichier leg1919dep</t>
  </si>
  <si>
    <t>Tableau électoral 1919</t>
  </si>
  <si>
    <t>TE1919/leg1919dep</t>
  </si>
  <si>
    <t>Electeursinscrits</t>
  </si>
  <si>
    <t>Suffragesexprimes</t>
  </si>
  <si>
    <t>Fichier leg1914comm</t>
  </si>
  <si>
    <t>Tableau électoral 1914</t>
  </si>
  <si>
    <t>TE1914/leg1914comm</t>
  </si>
  <si>
    <t>Fichier leg1910dep</t>
  </si>
  <si>
    <t>Tableau électoral 1910</t>
  </si>
  <si>
    <t>TE1910/leg1910dep</t>
  </si>
  <si>
    <t>Fichier leg1906dep</t>
  </si>
  <si>
    <t>Tableau électoral 1906</t>
  </si>
  <si>
    <t>TE1906/leg1906dep</t>
  </si>
  <si>
    <t>Fichier leg1902dep</t>
  </si>
  <si>
    <t>Tableau électoral 1902</t>
  </si>
  <si>
    <t>TE1902/leg1902dep</t>
  </si>
  <si>
    <t>Fichier leg1898dep</t>
  </si>
  <si>
    <t>Tableau électoral 1898</t>
  </si>
  <si>
    <t>TE1898/leg1898dep</t>
  </si>
  <si>
    <t>Fichier leg1893dep</t>
  </si>
  <si>
    <t>Tableau électoral 1893</t>
  </si>
  <si>
    <t>TE1893/leg1893dep</t>
  </si>
  <si>
    <t>Fichier leg1889dep</t>
  </si>
  <si>
    <t>Tableau électoral 1889</t>
  </si>
  <si>
    <t>TE1889/leg1889dep</t>
  </si>
  <si>
    <t>Fichier leg1885dep</t>
  </si>
  <si>
    <t>Tableau électoral 1885</t>
  </si>
  <si>
    <t>TE1885/leg1885dep</t>
  </si>
  <si>
    <t>Fichier leg1881dep</t>
  </si>
  <si>
    <t>Tableau électoral 1881</t>
  </si>
  <si>
    <t>TE1881/leg1881dep</t>
  </si>
  <si>
    <t>Fichier leg1877dep</t>
  </si>
  <si>
    <t>Tableau électoral 1877</t>
  </si>
  <si>
    <t>TE1877/leg1877dep</t>
  </si>
  <si>
    <t>Fichier leg1876dep</t>
  </si>
  <si>
    <t>Tableau électoral 1876</t>
  </si>
  <si>
    <t>TE1876/leg1876dep</t>
  </si>
  <si>
    <t>Sources utilisées pour les élections présidentielles (électeurs inscrits, votants, exprimés)</t>
  </si>
  <si>
    <t xml:space="preserve">1848: Salmon 2018 p.62 </t>
  </si>
  <si>
    <t>1965-2017: totaux métropolitains des fichiers CDSP</t>
  </si>
  <si>
    <t>Sources utilisées pour les référendums (électeurs inscrits, votants, exprimés)</t>
  </si>
  <si>
    <t>1793, 1795: taux de participation (37% en 1793, 22% en 1795) estimés à partir des travaux de Aberdam 2001 et Edelstein 2013; voir notes sur les élections législatives plus haut</t>
  </si>
  <si>
    <t>1800, 1804, 1815: taux de participation (21% en 1800, 42% en 1804, 22% en 1815) estimés à partir des travaux de Crook 2002 p.77-87 (in Bourdin 2002); voir également Bourguet-Rouveryre 2006 p.3, Aberdam 2001, Edelstein 2013, Truche 1977, Langlois 1972</t>
  </si>
  <si>
    <t>1851, 1852, 1870, 1946a, 1992, 2005: fichiers refXXXXdep, voir liens</t>
  </si>
  <si>
    <t>1945, 1946b, 1958, 1961, 1962a, 1962b, 1969, 1972, 1988, 2000: Conseil Constitutionnel (https://www.conseil-constitutionnel.fr/referendum-sous-la-ve-republique/tableau-recapitulatif-des-referendums-de-la-veme-republique) et Salmon 2018</t>
  </si>
  <si>
    <t>Sources utilisées pour la participation aux autres élections (participation au premier tour: votants/inscrits)</t>
  </si>
  <si>
    <t>Sources diverses: interieur.gouv.fr, data.gouv.fr, CDSP pour les élections les plus récentes; Lancelot 1968 E.2425, Subileau-Toinet 1993 p.209 tableau 6 pour les élections plus anciennes (en particulier les municipales)</t>
  </si>
  <si>
    <t>Attention: ces taux de participation ne sont pas parfaitement homogènes; ils portent parfois sur la France métropolitaine et parfois sur la France entière (y compris outre-mer); les différences sont faibles dans la perspective de long terme dans laquelle ces taux de participation sont utilisés</t>
  </si>
  <si>
    <t>(Cagé-Piketty 2023, Annexe A1, mis à jour avec élections européennes 2024)</t>
  </si>
  <si>
    <t>Elections européennes</t>
  </si>
  <si>
    <t>ANI</t>
  </si>
  <si>
    <t>NPA</t>
  </si>
  <si>
    <t>ENS</t>
  </si>
  <si>
    <t>REC</t>
  </si>
  <si>
    <t>AR</t>
  </si>
  <si>
    <t xml:space="preserve">J. Cagé, T. Piketty, Elections européennes et inégalités sociales en France, 1994-2024 </t>
  </si>
  <si>
    <t>(dernière mise à jour: 20/06/2024)</t>
  </si>
  <si>
    <t>Graphiques principaux</t>
  </si>
  <si>
    <t>Les séries utilisées pour les graphiques sont issues des feuilles et fichiers annexes indiqués ci-après, fichiers annexes qui comprennent également un grand nombre de graphiques et séries complémentaires:</t>
  </si>
  <si>
    <r>
      <rPr>
        <b/>
        <sz val="12"/>
        <rFont val="Arial"/>
        <family val="2"/>
      </rPr>
      <t>Lecture.</t>
    </r>
    <r>
      <rPr>
        <sz val="12"/>
        <rFont val="Arial"/>
        <family val="2"/>
      </rPr>
      <t xml:space="preserve"> Ce tableau indique les nuances politiques utilisées dans cette recherche pour classer les listes et la répartition des suffrages exprimés lors des scrutins européens (entre 10 et 17 nuances politiques suivant les élections). Ces différentes nuances sont étudiées en tant que telles pour chaque élection. Afin d'effectuer des comparaisons temporelles, elles ont également été classées en 5 tendances allant de gauche à droite: 1 (gauche G), 2 (centre-gauche CG), 3 (centre C), 4 (centre-droit CD), 5 (droite D). Les voix des partis inclassables ont été mis en 0 et réparties également entre les 5 tendances. Par construction G+CG+C+CD+D=100%. Par définition GCG=G+CG et DCD=D+CD, si bien que GCG+C+DCD=100%. Le total des voix de gauche (TG=GCG+0,5xC) a été obtenu en additionnant les voix classées en gauche et centre-gauche et la moitié des voix classées au centre; et de même pour le total des voix de droite (TD=DCD+0,5xC). Par construction TG+TD=100%</t>
    </r>
    <r>
      <rPr>
        <sz val="12"/>
        <rFont val="Arial Narrow"/>
        <family val="2"/>
      </rPr>
      <t xml:space="preserve">  </t>
    </r>
    <r>
      <rPr>
        <b/>
        <sz val="12"/>
        <rFont val="Arial Narrow"/>
        <family val="2"/>
      </rPr>
      <t>Sources et données</t>
    </r>
    <r>
      <rPr>
        <sz val="12"/>
        <rFont val="Arial Narrow"/>
        <family val="2"/>
      </rPr>
      <t>: voir www.unehistoireduconflitpolitique.fr</t>
    </r>
  </si>
  <si>
    <t>UDF-RPR</t>
  </si>
  <si>
    <t>Tableau 1. Nuances politiques utilisées pour les élections européennes, 1994-2024</t>
  </si>
  <si>
    <r>
      <rPr>
        <b/>
        <sz val="12"/>
        <color theme="1"/>
        <rFont val="Arial"/>
        <family val="2"/>
      </rPr>
      <t>Graph. 3-8</t>
    </r>
    <r>
      <rPr>
        <sz val="12"/>
        <color theme="1"/>
        <rFont val="Arial"/>
        <family val="2"/>
      </rPr>
      <t>: annexe A, feuille DataA1</t>
    </r>
  </si>
  <si>
    <r>
      <rPr>
        <b/>
        <sz val="12"/>
        <color theme="1"/>
        <rFont val="Arial"/>
        <family val="2"/>
      </rPr>
      <t>Graph. 9-11</t>
    </r>
    <r>
      <rPr>
        <sz val="12"/>
        <color theme="1"/>
        <rFont val="Arial"/>
        <family val="2"/>
      </rPr>
      <t>: feuille Data2</t>
    </r>
  </si>
  <si>
    <r>
      <rPr>
        <b/>
        <sz val="12"/>
        <color theme="1"/>
        <rFont val="Arial"/>
        <family val="2"/>
      </rPr>
      <t>Graph. 1-2</t>
    </r>
    <r>
      <rPr>
        <sz val="12"/>
        <color theme="1"/>
        <rFont val="Arial"/>
        <family val="2"/>
      </rPr>
      <t>: feuille Data1</t>
    </r>
  </si>
  <si>
    <t>Séries sur vote européen 1994-2024</t>
  </si>
  <si>
    <t xml:space="preserve">Villages, bourgs, banlieues, métropoles </t>
  </si>
  <si>
    <t>VI</t>
  </si>
  <si>
    <t>BO</t>
  </si>
  <si>
    <t>BA</t>
  </si>
  <si>
    <t>ME</t>
  </si>
  <si>
    <t>TOT</t>
  </si>
  <si>
    <t>EELV</t>
  </si>
  <si>
    <t>Verts</t>
  </si>
  <si>
    <r>
      <rPr>
        <b/>
        <sz val="12"/>
        <color theme="1"/>
        <rFont val="Arial"/>
        <family val="2"/>
      </rPr>
      <t>Graph. 12-23</t>
    </r>
    <r>
      <rPr>
        <sz val="12"/>
        <color theme="1"/>
        <rFont val="Arial"/>
        <family val="2"/>
      </rPr>
      <t>: annexe B, feuilles DataB1-B4</t>
    </r>
  </si>
  <si>
    <r>
      <rPr>
        <b/>
        <sz val="12"/>
        <color theme="1"/>
        <rFont val="Arial"/>
        <family val="2"/>
      </rPr>
      <t>Graph. 24-34</t>
    </r>
    <r>
      <rPr>
        <sz val="12"/>
        <color theme="1"/>
        <rFont val="Arial"/>
        <family val="2"/>
      </rPr>
      <t>: annexe C, feuilles DataC1-C3</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</si>
</sst>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0"/>
    <numFmt numFmtId="167" formatCode="#,##0.0"/>
    <numFmt numFmtId="168" formatCode="0.0000%"/>
  </numFmts>
  <fonts count="14" x14ac:knownFonts="1">
    <font>
      <sz val="12"/>
      <color theme="1"/>
      <name val="Arial"/>
      <family val="2"/>
    </font>
    <font>
      <sz val="12"/>
      <name val="Arial"/>
      <family val="2"/>
    </font>
    <font>
      <sz val="11"/>
      <name val="Calibri"/>
      <family val="2"/>
    </font>
    <font>
      <sz val="12"/>
      <name val="Arial"/>
      <family val="2"/>
    </font>
    <font>
      <b/>
      <sz val="12"/>
      <name val="Arial"/>
      <family val="2"/>
    </font>
    <font>
      <b/>
      <sz val="14"/>
      <name val="Arial"/>
      <family val="2"/>
    </font>
    <font>
      <b/>
      <sz val="12"/>
      <color theme="1"/>
      <name val="Arial"/>
      <family val="2"/>
    </font>
    <font>
      <sz val="12"/>
      <color theme="1"/>
      <name val="Arial"/>
      <family val="2"/>
    </font>
    <font>
      <sz val="11"/>
      <color theme="1"/>
      <name val="Arial Narrow"/>
      <family val="2"/>
    </font>
    <font>
      <sz val="11"/>
      <color theme="1"/>
      <name val="Calibri"/>
      <family val="2"/>
      <scheme val="minor"/>
    </font>
    <font>
      <b/>
      <sz val="12"/>
      <name val="Arial Narrow"/>
      <family val="2"/>
    </font>
    <font>
      <sz val="12"/>
      <name val="Arial Narrow"/>
      <family val="2"/>
    </font>
    <font>
      <b/>
      <u/>
      <sz val="12"/>
      <color theme="1"/>
      <name val="Arial"/>
      <family val="2"/>
    </font>
    <font>
      <sz val="11"/>
      <color theme="1"/>
      <name val="Arial"/>
      <family val="2"/>
    </font>
  </fonts>
  <fills count="2">
    <fill>
      <patternFill patternType="none"/>
    </fill>
    <fill>
      <patternFill patternType="gray125"/>
    </fill>
  </fills>
  <borders count="15">
    <border>
      <left/>
      <right/>
      <top/>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style="thick">
        <color auto="1"/>
      </top>
      <bottom/>
      <diagonal/>
    </border>
    <border>
      <left/>
      <right/>
      <top style="thick">
        <color auto="1"/>
      </top>
      <bottom/>
      <diagonal/>
    </border>
    <border>
      <left style="thick">
        <color auto="1"/>
      </left>
      <right/>
      <top style="thick">
        <color auto="1"/>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top/>
      <bottom/>
      <diagonal/>
    </border>
    <border>
      <left style="thick">
        <color auto="1"/>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thick">
        <color auto="1"/>
      </right>
      <top/>
      <bottom/>
      <diagonal/>
    </border>
  </borders>
  <cellStyleXfs count="4">
    <xf numFmtId="0" fontId="0" fillId="0" borderId="0"/>
    <xf numFmtId="0" fontId="2" fillId="0" borderId="0"/>
    <xf numFmtId="9" fontId="7" fillId="0" borderId="0" applyFont="0" applyFill="0" applyBorder="0" applyAlignment="0" applyProtection="0"/>
    <xf numFmtId="0" fontId="9" fillId="0" borderId="0"/>
  </cellStyleXfs>
  <cellXfs count="146">
    <xf numFmtId="0" fontId="0" fillId="0" borderId="0" xfId="0"/>
    <xf numFmtId="0" fontId="0" fillId="0" borderId="0" xfId="0"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0" borderId="0" xfId="0" applyBorder="1" applyAlignment="1">
      <alignment horizontal="center" vertical="center" wrapText="1"/>
    </xf>
    <xf numFmtId="0" fontId="0" fillId="0" borderId="0" xfId="0" applyBorder="1"/>
    <xf numFmtId="0" fontId="6" fillId="0" borderId="0" xfId="0" applyFont="1"/>
    <xf numFmtId="0" fontId="0" fillId="0" borderId="0" xfId="0" applyFont="1"/>
    <xf numFmtId="9" fontId="0" fillId="0" borderId="7" xfId="2" applyFont="1" applyBorder="1" applyAlignment="1">
      <alignment horizontal="center" vertical="center" wrapText="1"/>
    </xf>
    <xf numFmtId="9" fontId="0" fillId="0" borderId="0" xfId="2" applyFont="1" applyBorder="1" applyAlignment="1">
      <alignment horizontal="center"/>
    </xf>
    <xf numFmtId="0" fontId="0" fillId="0" borderId="9" xfId="0" applyBorder="1"/>
    <xf numFmtId="0" fontId="0" fillId="0" borderId="14" xfId="0" applyBorder="1"/>
    <xf numFmtId="9" fontId="0" fillId="0" borderId="3" xfId="2" applyFont="1" applyBorder="1" applyAlignment="1">
      <alignment horizontal="center"/>
    </xf>
    <xf numFmtId="9" fontId="0" fillId="0" borderId="1" xfId="2" applyFont="1" applyBorder="1" applyAlignment="1">
      <alignment horizontal="center"/>
    </xf>
    <xf numFmtId="0" fontId="0" fillId="0" borderId="6" xfId="0" applyBorder="1" applyAlignment="1">
      <alignment horizontal="center" vertical="center" wrapText="1"/>
    </xf>
    <xf numFmtId="0" fontId="0" fillId="0" borderId="9" xfId="0" applyBorder="1" applyAlignment="1">
      <alignment horizontal="center" vertical="center" wrapText="1"/>
    </xf>
    <xf numFmtId="9" fontId="0" fillId="0" borderId="3" xfId="0" applyNumberForma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164" fontId="8" fillId="0" borderId="7" xfId="0" applyNumberFormat="1" applyFont="1" applyBorder="1" applyAlignment="1">
      <alignment horizontal="center" vertical="center" wrapText="1"/>
    </xf>
    <xf numFmtId="0" fontId="0" fillId="0" borderId="6" xfId="0" applyBorder="1" applyAlignment="1">
      <alignment horizontal="center" vertical="center" wrapText="1"/>
    </xf>
    <xf numFmtId="16" fontId="0" fillId="0" borderId="9" xfId="0" applyNumberFormat="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9" fontId="0" fillId="0" borderId="2" xfId="0" applyNumberFormat="1" applyBorder="1" applyAlignment="1">
      <alignment horizontal="center" vertical="center" wrapText="1"/>
    </xf>
    <xf numFmtId="9" fontId="0" fillId="0" borderId="1" xfId="0" applyNumberFormat="1" applyBorder="1" applyAlignment="1">
      <alignment horizontal="center" vertical="center" wrapText="1"/>
    </xf>
    <xf numFmtId="0" fontId="6" fillId="0" borderId="0" xfId="3" applyFont="1"/>
    <xf numFmtId="0" fontId="7" fillId="0" borderId="0" xfId="3" applyFont="1"/>
    <xf numFmtId="0" fontId="7" fillId="0" borderId="0" xfId="3" applyFont="1" applyAlignment="1">
      <alignment horizontal="center"/>
    </xf>
    <xf numFmtId="9" fontId="0" fillId="0" borderId="9" xfId="2" applyNumberFormat="1" applyFont="1" applyBorder="1" applyAlignment="1">
      <alignment horizontal="center"/>
    </xf>
    <xf numFmtId="9" fontId="0" fillId="0" borderId="0" xfId="2" applyNumberFormat="1" applyFont="1" applyBorder="1" applyAlignment="1">
      <alignment horizontal="center"/>
    </xf>
    <xf numFmtId="9" fontId="0" fillId="0" borderId="14" xfId="2" applyNumberFormat="1" applyFont="1" applyBorder="1" applyAlignment="1">
      <alignment horizontal="center"/>
    </xf>
    <xf numFmtId="9" fontId="0" fillId="0" borderId="9" xfId="0" applyNumberFormat="1" applyBorder="1"/>
    <xf numFmtId="9" fontId="0" fillId="0" borderId="9" xfId="0" applyNumberFormat="1" applyBorder="1" applyAlignment="1">
      <alignment horizontal="center"/>
    </xf>
    <xf numFmtId="9" fontId="0" fillId="0" borderId="0" xfId="0" applyNumberFormat="1" applyBorder="1"/>
    <xf numFmtId="0" fontId="0" fillId="0" borderId="13" xfId="3" applyFont="1" applyBorder="1" applyAlignment="1">
      <alignment horizontal="center" vertical="center" wrapText="1"/>
    </xf>
    <xf numFmtId="0" fontId="0" fillId="0" borderId="12" xfId="3" applyFont="1" applyBorder="1" applyAlignment="1">
      <alignment horizontal="center" vertical="center" wrapText="1"/>
    </xf>
    <xf numFmtId="0" fontId="0" fillId="0" borderId="11" xfId="3" applyFont="1" applyBorder="1" applyAlignment="1">
      <alignment horizontal="center" vertical="center" wrapText="1"/>
    </xf>
    <xf numFmtId="9" fontId="0" fillId="0" borderId="14" xfId="0" applyNumberFormat="1" applyBorder="1"/>
    <xf numFmtId="9" fontId="0" fillId="0" borderId="14" xfId="0" applyNumberFormat="1" applyBorder="1" applyAlignment="1">
      <alignment horizontal="center"/>
    </xf>
    <xf numFmtId="0" fontId="0" fillId="0" borderId="11" xfId="3" applyFont="1" applyBorder="1" applyAlignment="1">
      <alignment horizontal="center" wrapText="1"/>
    </xf>
    <xf numFmtId="9" fontId="0" fillId="0" borderId="0" xfId="2" applyFont="1" applyBorder="1" applyAlignment="1">
      <alignment horizontal="center" vertical="center"/>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0" xfId="0" applyBorder="1" applyAlignment="1">
      <alignment horizontal="left" vertical="center"/>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0" xfId="0" applyBorder="1" applyAlignment="1">
      <alignment vertical="center"/>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9" fillId="0" borderId="0" xfId="3"/>
    <xf numFmtId="0" fontId="0" fillId="0" borderId="6" xfId="3" applyFont="1" applyBorder="1" applyAlignment="1">
      <alignment horizontal="center" wrapText="1"/>
    </xf>
    <xf numFmtId="0" fontId="0" fillId="0" borderId="5" xfId="3" applyFont="1" applyBorder="1" applyAlignment="1">
      <alignment horizontal="center" wrapText="1"/>
    </xf>
    <xf numFmtId="0" fontId="0" fillId="0" borderId="4" xfId="3" applyFont="1" applyBorder="1" applyAlignment="1">
      <alignment horizontal="center" wrapText="1"/>
    </xf>
    <xf numFmtId="0" fontId="0" fillId="0" borderId="0" xfId="3" applyFont="1" applyAlignment="1">
      <alignment horizontal="center" wrapText="1"/>
    </xf>
    <xf numFmtId="0" fontId="0" fillId="0" borderId="9" xfId="3" applyFont="1" applyBorder="1" applyAlignment="1">
      <alignment horizontal="center" wrapText="1"/>
    </xf>
    <xf numFmtId="0" fontId="0" fillId="0" borderId="0" xfId="3" applyFont="1" applyBorder="1" applyAlignment="1">
      <alignment horizontal="center" wrapText="1"/>
    </xf>
    <xf numFmtId="0" fontId="0" fillId="0" borderId="14" xfId="3" applyFont="1" applyBorder="1" applyAlignment="1">
      <alignment horizontal="center" wrapText="1"/>
    </xf>
    <xf numFmtId="0" fontId="0" fillId="0" borderId="9" xfId="3" applyFont="1" applyBorder="1" applyAlignment="1">
      <alignment horizontal="center" vertical="center" wrapText="1"/>
    </xf>
    <xf numFmtId="0" fontId="0" fillId="0" borderId="0" xfId="3" applyFont="1" applyBorder="1" applyAlignment="1">
      <alignment horizontal="center" vertical="center" wrapText="1"/>
    </xf>
    <xf numFmtId="0" fontId="0" fillId="0" borderId="14" xfId="3" applyFont="1" applyBorder="1" applyAlignment="1">
      <alignment horizontal="center" vertical="center" wrapText="1"/>
    </xf>
    <xf numFmtId="165" fontId="7" fillId="0" borderId="6" xfId="3" applyNumberFormat="1" applyFont="1" applyBorder="1" applyAlignment="1">
      <alignment horizontal="center"/>
    </xf>
    <xf numFmtId="1" fontId="7" fillId="0" borderId="5" xfId="3" applyNumberFormat="1" applyFont="1" applyBorder="1" applyAlignment="1">
      <alignment horizontal="center"/>
    </xf>
    <xf numFmtId="9" fontId="7" fillId="0" borderId="5" xfId="2" applyFont="1" applyBorder="1" applyAlignment="1">
      <alignment horizontal="center"/>
    </xf>
    <xf numFmtId="1" fontId="7" fillId="0" borderId="4" xfId="3" applyNumberFormat="1" applyFont="1" applyBorder="1" applyAlignment="1">
      <alignment horizontal="center"/>
    </xf>
    <xf numFmtId="0" fontId="9" fillId="0" borderId="5" xfId="3" applyBorder="1"/>
    <xf numFmtId="0" fontId="9" fillId="0" borderId="6" xfId="3" applyBorder="1"/>
    <xf numFmtId="0" fontId="9" fillId="0" borderId="4" xfId="3" applyBorder="1"/>
    <xf numFmtId="0" fontId="9" fillId="0" borderId="14" xfId="3" applyBorder="1"/>
    <xf numFmtId="9" fontId="7" fillId="0" borderId="9" xfId="2" applyFont="1" applyBorder="1" applyAlignment="1">
      <alignment horizontal="center"/>
    </xf>
    <xf numFmtId="9" fontId="7" fillId="0" borderId="0" xfId="2" applyFont="1" applyBorder="1" applyAlignment="1">
      <alignment horizontal="center"/>
    </xf>
    <xf numFmtId="9" fontId="7" fillId="0" borderId="14" xfId="2" applyFont="1" applyBorder="1" applyAlignment="1">
      <alignment horizontal="center"/>
    </xf>
    <xf numFmtId="9" fontId="7" fillId="0" borderId="0" xfId="2" applyFont="1" applyAlignment="1">
      <alignment horizontal="center"/>
    </xf>
    <xf numFmtId="165" fontId="7" fillId="0" borderId="9" xfId="3" applyNumberFormat="1" applyFont="1" applyBorder="1" applyAlignment="1">
      <alignment horizontal="center"/>
    </xf>
    <xf numFmtId="1" fontId="7" fillId="0" borderId="0" xfId="3" applyNumberFormat="1" applyFont="1" applyBorder="1" applyAlignment="1">
      <alignment horizontal="center"/>
    </xf>
    <xf numFmtId="1" fontId="7" fillId="0" borderId="14" xfId="3" applyNumberFormat="1" applyFont="1" applyBorder="1" applyAlignment="1">
      <alignment horizontal="center"/>
    </xf>
    <xf numFmtId="0" fontId="9" fillId="0" borderId="0" xfId="3" applyBorder="1"/>
    <xf numFmtId="0" fontId="9" fillId="0" borderId="9" xfId="3" applyBorder="1"/>
    <xf numFmtId="2" fontId="7" fillId="0" borderId="0" xfId="3" applyNumberFormat="1" applyFont="1" applyBorder="1" applyAlignment="1">
      <alignment horizontal="center"/>
    </xf>
    <xf numFmtId="165" fontId="7" fillId="0" borderId="0" xfId="3" applyNumberFormat="1" applyFont="1" applyBorder="1" applyAlignment="1">
      <alignment horizontal="center"/>
    </xf>
    <xf numFmtId="9" fontId="7" fillId="0" borderId="0" xfId="2" applyNumberFormat="1" applyFont="1" applyBorder="1" applyAlignment="1">
      <alignment horizontal="center"/>
    </xf>
    <xf numFmtId="9" fontId="7" fillId="0" borderId="14" xfId="2" applyNumberFormat="1" applyFont="1" applyBorder="1" applyAlignment="1">
      <alignment horizontal="center"/>
    </xf>
    <xf numFmtId="9" fontId="7" fillId="0" borderId="0" xfId="3" applyNumberFormat="1" applyFont="1" applyBorder="1" applyAlignment="1">
      <alignment horizontal="center"/>
    </xf>
    <xf numFmtId="9" fontId="7" fillId="0" borderId="14" xfId="3" applyNumberFormat="1" applyFont="1" applyBorder="1" applyAlignment="1">
      <alignment horizontal="center"/>
    </xf>
    <xf numFmtId="9" fontId="9" fillId="0" borderId="0" xfId="3" applyNumberFormat="1" applyBorder="1"/>
    <xf numFmtId="9" fontId="0" fillId="0" borderId="14" xfId="2" applyFont="1" applyBorder="1" applyAlignment="1">
      <alignment horizontal="center"/>
    </xf>
    <xf numFmtId="165" fontId="7" fillId="0" borderId="3" xfId="3" applyNumberFormat="1" applyFont="1" applyBorder="1" applyAlignment="1">
      <alignment horizontal="center"/>
    </xf>
    <xf numFmtId="165" fontId="7" fillId="0" borderId="2" xfId="3" applyNumberFormat="1" applyFont="1" applyBorder="1" applyAlignment="1">
      <alignment horizontal="center"/>
    </xf>
    <xf numFmtId="9" fontId="7" fillId="0" borderId="2" xfId="2" applyFont="1" applyBorder="1" applyAlignment="1">
      <alignment horizontal="center"/>
    </xf>
    <xf numFmtId="9" fontId="7" fillId="0" borderId="2" xfId="2" applyNumberFormat="1" applyFont="1" applyBorder="1" applyAlignment="1">
      <alignment horizontal="center"/>
    </xf>
    <xf numFmtId="9" fontId="7" fillId="0" borderId="1" xfId="2" applyNumberFormat="1" applyFont="1" applyBorder="1" applyAlignment="1">
      <alignment horizontal="center"/>
    </xf>
    <xf numFmtId="9" fontId="7" fillId="0" borderId="2" xfId="3" applyNumberFormat="1" applyFont="1" applyBorder="1" applyAlignment="1">
      <alignment horizontal="center"/>
    </xf>
    <xf numFmtId="0" fontId="9" fillId="0" borderId="2" xfId="3" applyBorder="1"/>
    <xf numFmtId="0" fontId="9" fillId="0" borderId="1" xfId="3" applyBorder="1"/>
    <xf numFmtId="9" fontId="7" fillId="0" borderId="3" xfId="2" applyFont="1" applyBorder="1" applyAlignment="1">
      <alignment horizontal="center"/>
    </xf>
    <xf numFmtId="9" fontId="7" fillId="0" borderId="1" xfId="2" applyFont="1" applyBorder="1" applyAlignment="1">
      <alignment horizontal="center"/>
    </xf>
    <xf numFmtId="166" fontId="7" fillId="0" borderId="0" xfId="3" applyNumberFormat="1" applyFont="1" applyAlignment="1">
      <alignment horizontal="center"/>
    </xf>
    <xf numFmtId="1" fontId="7" fillId="0" borderId="0" xfId="3" applyNumberFormat="1" applyFont="1" applyAlignment="1">
      <alignment horizontal="center"/>
    </xf>
    <xf numFmtId="9" fontId="7" fillId="0" borderId="0" xfId="2" applyNumberFormat="1" applyFont="1" applyAlignment="1">
      <alignment horizontal="center"/>
    </xf>
    <xf numFmtId="9" fontId="9" fillId="0" borderId="0" xfId="3" applyNumberFormat="1"/>
    <xf numFmtId="0" fontId="0" fillId="0" borderId="0" xfId="3" applyFont="1"/>
    <xf numFmtId="0" fontId="12" fillId="0" borderId="0" xfId="3" applyFont="1"/>
    <xf numFmtId="3" fontId="7" fillId="0" borderId="0" xfId="3" applyNumberFormat="1" applyFont="1" applyAlignment="1">
      <alignment horizontal="center"/>
    </xf>
    <xf numFmtId="10" fontId="7" fillId="0" borderId="0" xfId="2" applyNumberFormat="1" applyFont="1" applyAlignment="1">
      <alignment horizontal="center"/>
    </xf>
    <xf numFmtId="9" fontId="9" fillId="0" borderId="2" xfId="3" applyNumberFormat="1" applyBorder="1"/>
    <xf numFmtId="0" fontId="9" fillId="0" borderId="3" xfId="3" applyBorder="1"/>
    <xf numFmtId="167" fontId="7" fillId="0" borderId="9" xfId="3" applyNumberFormat="1" applyFont="1" applyBorder="1" applyAlignment="1">
      <alignment horizontal="center"/>
    </xf>
    <xf numFmtId="167" fontId="7" fillId="0" borderId="0" xfId="3" applyNumberFormat="1" applyFont="1" applyBorder="1" applyAlignment="1">
      <alignment horizontal="center"/>
    </xf>
    <xf numFmtId="9" fontId="0" fillId="0" borderId="8" xfId="0" applyNumberFormat="1" applyBorder="1" applyAlignment="1">
      <alignment horizontal="center" vertical="center" wrapText="1"/>
    </xf>
    <xf numFmtId="168" fontId="0" fillId="0" borderId="0" xfId="0" applyNumberFormat="1"/>
    <xf numFmtId="0" fontId="7" fillId="0" borderId="0" xfId="0" applyFont="1"/>
    <xf numFmtId="0" fontId="7" fillId="0" borderId="0" xfId="3" applyFont="1" applyAlignment="1">
      <alignment wrapText="1"/>
    </xf>
    <xf numFmtId="0" fontId="6" fillId="0" borderId="0" xfId="3" applyFont="1" applyAlignment="1">
      <alignment horizontal="center"/>
    </xf>
    <xf numFmtId="0" fontId="0" fillId="0" borderId="0" xfId="3" applyFont="1" applyAlignment="1">
      <alignment horizontal="center"/>
    </xf>
    <xf numFmtId="9" fontId="7" fillId="0" borderId="0" xfId="3" applyNumberFormat="1" applyFont="1" applyAlignment="1">
      <alignment horizontal="center"/>
    </xf>
    <xf numFmtId="0" fontId="13" fillId="0" borderId="0" xfId="3" applyFont="1"/>
    <xf numFmtId="0" fontId="0" fillId="0" borderId="0" xfId="3" applyFont="1" applyAlignment="1">
      <alignment horizontal="left" wrapText="1"/>
    </xf>
    <xf numFmtId="0" fontId="1" fillId="0" borderId="6" xfId="1" applyFont="1" applyBorder="1" applyAlignment="1">
      <alignment horizontal="left" vertical="top" wrapText="1"/>
    </xf>
    <xf numFmtId="0" fontId="3" fillId="0" borderId="5" xfId="1" applyFont="1" applyBorder="1" applyAlignment="1">
      <alignment horizontal="left" vertical="top" wrapText="1"/>
    </xf>
    <xf numFmtId="0" fontId="3" fillId="0" borderId="4" xfId="1" applyFont="1" applyBorder="1" applyAlignment="1">
      <alignment horizontal="left" vertical="top" wrapText="1"/>
    </xf>
    <xf numFmtId="0" fontId="3" fillId="0" borderId="3" xfId="1" applyFont="1" applyBorder="1" applyAlignment="1">
      <alignment horizontal="left" vertical="top" wrapText="1"/>
    </xf>
    <xf numFmtId="0" fontId="3" fillId="0" borderId="2" xfId="1" applyFont="1" applyBorder="1" applyAlignment="1">
      <alignment horizontal="left" vertical="top" wrapText="1"/>
    </xf>
    <xf numFmtId="0" fontId="3" fillId="0" borderId="1" xfId="1" applyFont="1" applyBorder="1" applyAlignment="1">
      <alignment horizontal="left" vertical="top"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5" fillId="0" borderId="12"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3" xfId="1" applyFont="1" applyBorder="1" applyAlignment="1">
      <alignment horizontal="center" vertical="center" wrapText="1"/>
    </xf>
    <xf numFmtId="0" fontId="0" fillId="0" borderId="12" xfId="3" applyFont="1" applyBorder="1" applyAlignment="1">
      <alignment horizontal="left" wrapText="1"/>
    </xf>
    <xf numFmtId="0" fontId="0" fillId="0" borderId="11" xfId="3" applyFont="1" applyBorder="1" applyAlignment="1">
      <alignment horizontal="left" wrapText="1"/>
    </xf>
    <xf numFmtId="0" fontId="0" fillId="0" borderId="13" xfId="3" applyFont="1" applyBorder="1" applyAlignment="1">
      <alignment horizontal="left" wrapText="1"/>
    </xf>
    <xf numFmtId="0" fontId="0" fillId="0" borderId="6" xfId="3" applyFont="1" applyBorder="1" applyAlignment="1">
      <alignment horizontal="center" vertical="center" wrapText="1"/>
    </xf>
    <xf numFmtId="0" fontId="0" fillId="0" borderId="5" xfId="3" applyFont="1" applyBorder="1" applyAlignment="1">
      <alignment horizontal="center" vertical="center" wrapText="1"/>
    </xf>
    <xf numFmtId="0" fontId="0" fillId="0" borderId="4" xfId="3" applyFont="1" applyBorder="1" applyAlignment="1">
      <alignment horizontal="center" vertical="center" wrapText="1"/>
    </xf>
    <xf numFmtId="0" fontId="0" fillId="0" borderId="12" xfId="3" applyFont="1" applyBorder="1" applyAlignment="1">
      <alignment horizontal="center" vertical="center" wrapText="1"/>
    </xf>
    <xf numFmtId="0" fontId="0" fillId="0" borderId="11" xfId="3" applyFont="1" applyBorder="1" applyAlignment="1">
      <alignment horizontal="center" vertical="center" wrapText="1"/>
    </xf>
    <xf numFmtId="0" fontId="0" fillId="0" borderId="13" xfId="3" applyFont="1" applyBorder="1" applyAlignment="1">
      <alignment horizontal="center" vertical="center" wrapText="1"/>
    </xf>
    <xf numFmtId="0" fontId="0" fillId="0" borderId="12" xfId="3" applyFont="1" applyBorder="1" applyAlignment="1">
      <alignment horizontal="center" wrapText="1"/>
    </xf>
    <xf numFmtId="0" fontId="0" fillId="0" borderId="11" xfId="3" applyFont="1" applyBorder="1" applyAlignment="1">
      <alignment horizontal="center" wrapText="1"/>
    </xf>
    <xf numFmtId="0" fontId="0" fillId="0" borderId="13" xfId="3" applyFont="1" applyBorder="1" applyAlignment="1">
      <alignment horizontal="center" wrapText="1"/>
    </xf>
    <xf numFmtId="0" fontId="0" fillId="0" borderId="12" xfId="3" applyFont="1" applyBorder="1" applyAlignment="1">
      <alignment horizontal="center"/>
    </xf>
    <xf numFmtId="0" fontId="7" fillId="0" borderId="11" xfId="3" applyFont="1" applyBorder="1" applyAlignment="1">
      <alignment horizontal="center"/>
    </xf>
  </cellXfs>
  <cellStyles count="4">
    <cellStyle name="Normal" xfId="0" builtinId="0"/>
    <cellStyle name="Normal 2" xfId="1"/>
    <cellStyle name="Normal 2 2" xfId="3"/>
    <cellStyle name="Pourcentage" xfId="2" builtinId="5"/>
  </cellStyles>
  <dxfs count="0"/>
  <tableStyles count="0" defaultTableStyle="TableStyleMedium2" defaultPivotStyle="PivotStyleLight16"/>
  <colors>
    <mruColors>
      <color rgb="FFFCAAEE"/>
      <color rgb="FF83F7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2.xml"/><Relationship Id="rId18" Type="http://schemas.openxmlformats.org/officeDocument/2006/relationships/chartsheet" Target="chartsheets/sheet16.xml"/><Relationship Id="rId26" Type="http://schemas.openxmlformats.org/officeDocument/2006/relationships/chartsheet" Target="chartsheets/sheet24.xml"/><Relationship Id="rId39" Type="http://schemas.openxmlformats.org/officeDocument/2006/relationships/worksheet" Target="worksheets/sheet5.xml"/><Relationship Id="rId21" Type="http://schemas.openxmlformats.org/officeDocument/2006/relationships/chartsheet" Target="chartsheets/sheet19.xml"/><Relationship Id="rId34" Type="http://schemas.openxmlformats.org/officeDocument/2006/relationships/chartsheet" Target="chartsheets/sheet32.xml"/><Relationship Id="rId42" Type="http://schemas.openxmlformats.org/officeDocument/2006/relationships/externalLink" Target="externalLinks/externalLink3.xml"/><Relationship Id="rId47" Type="http://schemas.openxmlformats.org/officeDocument/2006/relationships/externalLink" Target="externalLinks/externalLink8.xml"/><Relationship Id="rId50" Type="http://schemas.openxmlformats.org/officeDocument/2006/relationships/externalLink" Target="externalLinks/externalLink11.xml"/><Relationship Id="rId55" Type="http://schemas.openxmlformats.org/officeDocument/2006/relationships/externalLink" Target="externalLinks/externalLink16.xml"/><Relationship Id="rId63" Type="http://schemas.openxmlformats.org/officeDocument/2006/relationships/externalLink" Target="externalLinks/externalLink24.xml"/><Relationship Id="rId68" Type="http://schemas.openxmlformats.org/officeDocument/2006/relationships/externalLink" Target="externalLinks/externalLink29.xml"/><Relationship Id="rId76" Type="http://schemas.openxmlformats.org/officeDocument/2006/relationships/styles" Target="styles.xml"/><Relationship Id="rId7" Type="http://schemas.openxmlformats.org/officeDocument/2006/relationships/chartsheet" Target="chartsheets/sheet6.xml"/><Relationship Id="rId71" Type="http://schemas.openxmlformats.org/officeDocument/2006/relationships/externalLink" Target="externalLinks/externalLink32.xml"/><Relationship Id="rId2" Type="http://schemas.openxmlformats.org/officeDocument/2006/relationships/chartsheet" Target="chartsheets/sheet1.xml"/><Relationship Id="rId16" Type="http://schemas.openxmlformats.org/officeDocument/2006/relationships/chartsheet" Target="chartsheets/sheet14.xml"/><Relationship Id="rId29" Type="http://schemas.openxmlformats.org/officeDocument/2006/relationships/chartsheet" Target="chartsheets/sheet27.xml"/><Relationship Id="rId11" Type="http://schemas.openxmlformats.org/officeDocument/2006/relationships/chartsheet" Target="chartsheets/sheet10.xml"/><Relationship Id="rId24" Type="http://schemas.openxmlformats.org/officeDocument/2006/relationships/chartsheet" Target="chartsheets/sheet22.xml"/><Relationship Id="rId32" Type="http://schemas.openxmlformats.org/officeDocument/2006/relationships/chartsheet" Target="chartsheets/sheet30.xml"/><Relationship Id="rId37" Type="http://schemas.openxmlformats.org/officeDocument/2006/relationships/worksheet" Target="worksheets/sheet3.xml"/><Relationship Id="rId40" Type="http://schemas.openxmlformats.org/officeDocument/2006/relationships/externalLink" Target="externalLinks/externalLink1.xml"/><Relationship Id="rId45" Type="http://schemas.openxmlformats.org/officeDocument/2006/relationships/externalLink" Target="externalLinks/externalLink6.xml"/><Relationship Id="rId53" Type="http://schemas.openxmlformats.org/officeDocument/2006/relationships/externalLink" Target="externalLinks/externalLink14.xml"/><Relationship Id="rId58" Type="http://schemas.openxmlformats.org/officeDocument/2006/relationships/externalLink" Target="externalLinks/externalLink19.xml"/><Relationship Id="rId66" Type="http://schemas.openxmlformats.org/officeDocument/2006/relationships/externalLink" Target="externalLinks/externalLink27.xml"/><Relationship Id="rId74" Type="http://schemas.openxmlformats.org/officeDocument/2006/relationships/externalLink" Target="externalLinks/externalLink35.xml"/><Relationship Id="rId5" Type="http://schemas.openxmlformats.org/officeDocument/2006/relationships/chartsheet" Target="chartsheets/sheet4.xml"/><Relationship Id="rId15" Type="http://schemas.openxmlformats.org/officeDocument/2006/relationships/chartsheet" Target="chartsheets/sheet13.xml"/><Relationship Id="rId23" Type="http://schemas.openxmlformats.org/officeDocument/2006/relationships/chartsheet" Target="chartsheets/sheet21.xml"/><Relationship Id="rId28" Type="http://schemas.openxmlformats.org/officeDocument/2006/relationships/chartsheet" Target="chartsheets/sheet26.xml"/><Relationship Id="rId36" Type="http://schemas.openxmlformats.org/officeDocument/2006/relationships/chartsheet" Target="chartsheets/sheet34.xml"/><Relationship Id="rId49" Type="http://schemas.openxmlformats.org/officeDocument/2006/relationships/externalLink" Target="externalLinks/externalLink10.xml"/><Relationship Id="rId57" Type="http://schemas.openxmlformats.org/officeDocument/2006/relationships/externalLink" Target="externalLinks/externalLink18.xml"/><Relationship Id="rId61" Type="http://schemas.openxmlformats.org/officeDocument/2006/relationships/externalLink" Target="externalLinks/externalLink22.xml"/><Relationship Id="rId10" Type="http://schemas.openxmlformats.org/officeDocument/2006/relationships/chartsheet" Target="chartsheets/sheet9.xml"/><Relationship Id="rId19" Type="http://schemas.openxmlformats.org/officeDocument/2006/relationships/chartsheet" Target="chartsheets/sheet17.xml"/><Relationship Id="rId31" Type="http://schemas.openxmlformats.org/officeDocument/2006/relationships/chartsheet" Target="chartsheets/sheet29.xml"/><Relationship Id="rId44" Type="http://schemas.openxmlformats.org/officeDocument/2006/relationships/externalLink" Target="externalLinks/externalLink5.xml"/><Relationship Id="rId52" Type="http://schemas.openxmlformats.org/officeDocument/2006/relationships/externalLink" Target="externalLinks/externalLink13.xml"/><Relationship Id="rId60" Type="http://schemas.openxmlformats.org/officeDocument/2006/relationships/externalLink" Target="externalLinks/externalLink21.xml"/><Relationship Id="rId65" Type="http://schemas.openxmlformats.org/officeDocument/2006/relationships/externalLink" Target="externalLinks/externalLink26.xml"/><Relationship Id="rId73" Type="http://schemas.openxmlformats.org/officeDocument/2006/relationships/externalLink" Target="externalLinks/externalLink34.xml"/><Relationship Id="rId78" Type="http://schemas.openxmlformats.org/officeDocument/2006/relationships/calcChain" Target="calcChain.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2.xml"/><Relationship Id="rId22" Type="http://schemas.openxmlformats.org/officeDocument/2006/relationships/chartsheet" Target="chartsheets/sheet20.xml"/><Relationship Id="rId27" Type="http://schemas.openxmlformats.org/officeDocument/2006/relationships/chartsheet" Target="chartsheets/sheet25.xml"/><Relationship Id="rId30" Type="http://schemas.openxmlformats.org/officeDocument/2006/relationships/chartsheet" Target="chartsheets/sheet28.xml"/><Relationship Id="rId35" Type="http://schemas.openxmlformats.org/officeDocument/2006/relationships/chartsheet" Target="chartsheets/sheet33.xml"/><Relationship Id="rId43" Type="http://schemas.openxmlformats.org/officeDocument/2006/relationships/externalLink" Target="externalLinks/externalLink4.xml"/><Relationship Id="rId48" Type="http://schemas.openxmlformats.org/officeDocument/2006/relationships/externalLink" Target="externalLinks/externalLink9.xml"/><Relationship Id="rId56" Type="http://schemas.openxmlformats.org/officeDocument/2006/relationships/externalLink" Target="externalLinks/externalLink17.xml"/><Relationship Id="rId64" Type="http://schemas.openxmlformats.org/officeDocument/2006/relationships/externalLink" Target="externalLinks/externalLink25.xml"/><Relationship Id="rId69" Type="http://schemas.openxmlformats.org/officeDocument/2006/relationships/externalLink" Target="externalLinks/externalLink30.xml"/><Relationship Id="rId77" Type="http://schemas.openxmlformats.org/officeDocument/2006/relationships/sharedStrings" Target="sharedStrings.xml"/><Relationship Id="rId8" Type="http://schemas.openxmlformats.org/officeDocument/2006/relationships/chartsheet" Target="chartsheets/sheet7.xml"/><Relationship Id="rId51" Type="http://schemas.openxmlformats.org/officeDocument/2006/relationships/externalLink" Target="externalLinks/externalLink12.xml"/><Relationship Id="rId72" Type="http://schemas.openxmlformats.org/officeDocument/2006/relationships/externalLink" Target="externalLinks/externalLink33.xml"/><Relationship Id="rId3" Type="http://schemas.openxmlformats.org/officeDocument/2006/relationships/chartsheet" Target="chartsheets/sheet2.xml"/><Relationship Id="rId12" Type="http://schemas.openxmlformats.org/officeDocument/2006/relationships/chartsheet" Target="chartsheets/sheet11.xml"/><Relationship Id="rId17" Type="http://schemas.openxmlformats.org/officeDocument/2006/relationships/chartsheet" Target="chartsheets/sheet15.xml"/><Relationship Id="rId25" Type="http://schemas.openxmlformats.org/officeDocument/2006/relationships/chartsheet" Target="chartsheets/sheet23.xml"/><Relationship Id="rId33" Type="http://schemas.openxmlformats.org/officeDocument/2006/relationships/chartsheet" Target="chartsheets/sheet31.xml"/><Relationship Id="rId38" Type="http://schemas.openxmlformats.org/officeDocument/2006/relationships/worksheet" Target="worksheets/sheet4.xml"/><Relationship Id="rId46" Type="http://schemas.openxmlformats.org/officeDocument/2006/relationships/externalLink" Target="externalLinks/externalLink7.xml"/><Relationship Id="rId59" Type="http://schemas.openxmlformats.org/officeDocument/2006/relationships/externalLink" Target="externalLinks/externalLink20.xml"/><Relationship Id="rId67" Type="http://schemas.openxmlformats.org/officeDocument/2006/relationships/externalLink" Target="externalLinks/externalLink28.xml"/><Relationship Id="rId20" Type="http://schemas.openxmlformats.org/officeDocument/2006/relationships/chartsheet" Target="chartsheets/sheet18.xml"/><Relationship Id="rId41" Type="http://schemas.openxmlformats.org/officeDocument/2006/relationships/externalLink" Target="externalLinks/externalLink2.xml"/><Relationship Id="rId54" Type="http://schemas.openxmlformats.org/officeDocument/2006/relationships/externalLink" Target="externalLinks/externalLink15.xml"/><Relationship Id="rId62" Type="http://schemas.openxmlformats.org/officeDocument/2006/relationships/externalLink" Target="externalLinks/externalLink23.xml"/><Relationship Id="rId70" Type="http://schemas.openxmlformats.org/officeDocument/2006/relationships/externalLink" Target="externalLinks/externalLink31.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2" Type="http://schemas.openxmlformats.org/officeDocument/2006/relationships/chartUserShapes" Target="../drawings/drawing42.xml"/><Relationship Id="rId1" Type="http://schemas.openxmlformats.org/officeDocument/2006/relationships/themeOverride" Target="../theme/themeOverride7.xml"/></Relationships>
</file>

<file path=xl/charts/_rels/chart22.xml.rels><?xml version="1.0" encoding="UTF-8" standalone="yes"?>
<Relationships xmlns="http://schemas.openxmlformats.org/package/2006/relationships"><Relationship Id="rId2" Type="http://schemas.openxmlformats.org/officeDocument/2006/relationships/chartUserShapes" Target="../drawings/drawing44.xml"/><Relationship Id="rId1" Type="http://schemas.openxmlformats.org/officeDocument/2006/relationships/themeOverride" Target="../theme/themeOverride8.xml"/></Relationships>
</file>

<file path=xl/charts/_rels/chart23.xml.rels><?xml version="1.0" encoding="UTF-8" standalone="yes"?>
<Relationships xmlns="http://schemas.openxmlformats.org/package/2006/relationships"><Relationship Id="rId2" Type="http://schemas.openxmlformats.org/officeDocument/2006/relationships/chartUserShapes" Target="../drawings/drawing46.xml"/><Relationship Id="rId1" Type="http://schemas.openxmlformats.org/officeDocument/2006/relationships/themeOverride" Target="../theme/themeOverride9.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50.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52.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54.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56.xml"/></Relationships>
</file>

<file path=xl/charts/_rels/chart29.xml.rels><?xml version="1.0" encoding="UTF-8" standalone="yes"?>
<Relationships xmlns="http://schemas.openxmlformats.org/package/2006/relationships"><Relationship Id="rId1" Type="http://schemas.openxmlformats.org/officeDocument/2006/relationships/chartUserShapes" Target="../drawings/drawing58.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30.xml.rels><?xml version="1.0" encoding="UTF-8" standalone="yes"?>
<Relationships xmlns="http://schemas.openxmlformats.org/package/2006/relationships"><Relationship Id="rId1" Type="http://schemas.openxmlformats.org/officeDocument/2006/relationships/chartUserShapes" Target="../drawings/drawing60.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62.xml"/></Relationships>
</file>

<file path=xl/charts/_rels/chart32.xml.rels><?xml version="1.0" encoding="UTF-8" standalone="yes"?>
<Relationships xmlns="http://schemas.openxmlformats.org/package/2006/relationships"><Relationship Id="rId1" Type="http://schemas.openxmlformats.org/officeDocument/2006/relationships/chartUserShapes" Target="../drawings/drawing64.xml"/></Relationships>
</file>

<file path=xl/charts/_rels/chart33.xml.rels><?xml version="1.0" encoding="UTF-8" standalone="yes"?>
<Relationships xmlns="http://schemas.openxmlformats.org/package/2006/relationships"><Relationship Id="rId1" Type="http://schemas.openxmlformats.org/officeDocument/2006/relationships/chartUserShapes" Target="../drawings/drawing66.xml"/></Relationships>
</file>

<file path=xl/charts/_rels/chart34.xml.rels><?xml version="1.0" encoding="UTF-8" standalone="yes"?>
<Relationships xmlns="http://schemas.openxmlformats.org/package/2006/relationships"><Relationship Id="rId1" Type="http://schemas.openxmlformats.org/officeDocument/2006/relationships/chartUserShapes" Target="../drawings/drawing68.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4.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5.xml"/></Relationships>
</file>

<file path=xl/charts/_rels/chart8.xml.rels><?xml version="1.0" encoding="UTF-8" standalone="yes"?>
<Relationships xmlns="http://schemas.openxmlformats.org/package/2006/relationships"><Relationship Id="rId2" Type="http://schemas.openxmlformats.org/officeDocument/2006/relationships/chartUserShapes" Target="../drawings/drawing16.xml"/><Relationship Id="rId1" Type="http://schemas.openxmlformats.org/officeDocument/2006/relationships/themeOverride" Target="../theme/themeOverride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Graph. 1. La participation aux élections européennes, 1979-2024</a:t>
            </a:r>
          </a:p>
        </c:rich>
      </c:tx>
      <c:layout>
        <c:manualLayout>
          <c:xMode val="edge"/>
          <c:yMode val="edge"/>
          <c:x val="0.15337208095917301"/>
          <c:y val="2.2032367001758508E-3"/>
        </c:manualLayout>
      </c:layout>
      <c:overlay val="0"/>
      <c:spPr>
        <a:noFill/>
        <a:ln w="25400">
          <a:noFill/>
        </a:ln>
      </c:spPr>
    </c:title>
    <c:autoTitleDeleted val="0"/>
    <c:plotArea>
      <c:layout>
        <c:manualLayout>
          <c:layoutTarget val="inner"/>
          <c:xMode val="edge"/>
          <c:yMode val="edge"/>
          <c:x val="9.4599660088082918E-2"/>
          <c:y val="6.3438536319265909E-2"/>
          <c:w val="0.87198296434755418"/>
          <c:h val="0.71944288471646101"/>
        </c:manualLayout>
      </c:layout>
      <c:lineChart>
        <c:grouping val="standard"/>
        <c:varyColors val="0"/>
        <c:ser>
          <c:idx val="3"/>
          <c:order val="0"/>
          <c:tx>
            <c:v>Elections européennes</c:v>
          </c:tx>
          <c:spPr>
            <a:ln w="50800">
              <a:solidFill>
                <a:srgbClr val="FFC000"/>
              </a:solidFill>
            </a:ln>
          </c:spPr>
          <c:marker>
            <c:symbol val="diamond"/>
            <c:size val="11"/>
            <c:spPr>
              <a:solidFill>
                <a:srgbClr val="FFC000"/>
              </a:solidFill>
              <a:ln>
                <a:solidFill>
                  <a:srgbClr val="FFC000"/>
                </a:solidFill>
              </a:ln>
            </c:spPr>
          </c:marker>
          <c:cat>
            <c:numRef>
              <c:f>Data1!$A$205:$A$250</c:f>
              <c:numCache>
                <c:formatCode>General</c:formatCode>
                <c:ptCount val="46"/>
                <c:pt idx="0">
                  <c:v>1979</c:v>
                </c:pt>
                <c:pt idx="1">
                  <c:v>1980</c:v>
                </c:pt>
                <c:pt idx="2">
                  <c:v>1981</c:v>
                </c:pt>
                <c:pt idx="3">
                  <c:v>1982</c:v>
                </c:pt>
                <c:pt idx="4">
                  <c:v>1983</c:v>
                </c:pt>
                <c:pt idx="5">
                  <c:v>1984</c:v>
                </c:pt>
                <c:pt idx="6">
                  <c:v>1985</c:v>
                </c:pt>
                <c:pt idx="7">
                  <c:v>1986</c:v>
                </c:pt>
                <c:pt idx="8">
                  <c:v>1987</c:v>
                </c:pt>
                <c:pt idx="9">
                  <c:v>1988</c:v>
                </c:pt>
                <c:pt idx="10">
                  <c:v>1989</c:v>
                </c:pt>
                <c:pt idx="11">
                  <c:v>1990</c:v>
                </c:pt>
                <c:pt idx="12">
                  <c:v>1991</c:v>
                </c:pt>
                <c:pt idx="13">
                  <c:v>1992</c:v>
                </c:pt>
                <c:pt idx="14">
                  <c:v>1993</c:v>
                </c:pt>
                <c:pt idx="15">
                  <c:v>1994</c:v>
                </c:pt>
                <c:pt idx="16">
                  <c:v>1995</c:v>
                </c:pt>
                <c:pt idx="17">
                  <c:v>1996</c:v>
                </c:pt>
                <c:pt idx="18">
                  <c:v>1997</c:v>
                </c:pt>
                <c:pt idx="19">
                  <c:v>1998</c:v>
                </c:pt>
                <c:pt idx="20">
                  <c:v>1999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pt idx="41">
                  <c:v>2020</c:v>
                </c:pt>
                <c:pt idx="42">
                  <c:v>2021</c:v>
                </c:pt>
                <c:pt idx="43">
                  <c:v>2022</c:v>
                </c:pt>
                <c:pt idx="44">
                  <c:v>2023</c:v>
                </c:pt>
                <c:pt idx="45">
                  <c:v>2024</c:v>
                </c:pt>
              </c:numCache>
            </c:numRef>
          </c:cat>
          <c:val>
            <c:numRef>
              <c:f>Data1!$AM$205:$AM$250</c:f>
              <c:numCache>
                <c:formatCode>0%</c:formatCode>
                <c:ptCount val="46"/>
                <c:pt idx="0">
                  <c:v>0.60709999999999997</c:v>
                </c:pt>
                <c:pt idx="5">
                  <c:v>0.56720000000000004</c:v>
                </c:pt>
                <c:pt idx="10">
                  <c:v>0.48799999999999999</c:v>
                </c:pt>
                <c:pt idx="15">
                  <c:v>0.53843365978557989</c:v>
                </c:pt>
                <c:pt idx="20">
                  <c:v>0.47784811666451499</c:v>
                </c:pt>
                <c:pt idx="25">
                  <c:v>0.43454805141320663</c:v>
                </c:pt>
                <c:pt idx="30">
                  <c:v>0.41490091753716196</c:v>
                </c:pt>
                <c:pt idx="35">
                  <c:v>0.44399601238407238</c:v>
                </c:pt>
                <c:pt idx="40">
                  <c:v>0.52294284700771543</c:v>
                </c:pt>
                <c:pt idx="45">
                  <c:v>0.5423765876293456</c:v>
                </c:pt>
              </c:numCache>
            </c:numRef>
          </c:val>
          <c:smooth val="0"/>
        </c:ser>
        <c:dLbls>
          <c:showLegendKey val="0"/>
          <c:showVal val="0"/>
          <c:showCatName val="0"/>
          <c:showSerName val="0"/>
          <c:showPercent val="0"/>
          <c:showBubbleSize val="0"/>
        </c:dLbls>
        <c:marker val="1"/>
        <c:smooth val="0"/>
        <c:axId val="634610392"/>
        <c:axId val="634613920"/>
      </c:lineChart>
      <c:catAx>
        <c:axId val="6346103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3920"/>
        <c:crossesAt val="0"/>
        <c:auto val="1"/>
        <c:lblAlgn val="ctr"/>
        <c:lblOffset val="100"/>
        <c:tickLblSkip val="5"/>
        <c:tickMarkSkip val="5"/>
        <c:noMultiLvlLbl val="0"/>
      </c:catAx>
      <c:valAx>
        <c:axId val="634613920"/>
        <c:scaling>
          <c:orientation val="minMax"/>
          <c:max val="0.70000000000000007"/>
          <c:min val="0.30000000000000004"/>
        </c:scaling>
        <c:delete val="0"/>
        <c:axPos val="l"/>
        <c:majorGridlines>
          <c:spPr>
            <a:ln w="12700">
              <a:solidFill>
                <a:srgbClr val="000000"/>
              </a:solidFill>
              <a:prstDash val="sysDash"/>
            </a:ln>
          </c:spPr>
        </c:majorGridlines>
        <c:title>
          <c:tx>
            <c:rich>
              <a:bodyPr/>
              <a:lstStyle/>
              <a:p>
                <a:pPr>
                  <a:defRPr/>
                </a:pPr>
                <a:r>
                  <a:rPr lang="fr-FR" sz="1200"/>
                  <a:t>Participation</a:t>
                </a:r>
                <a:r>
                  <a:rPr lang="fr-FR" sz="1200" baseline="0"/>
                  <a:t> électorale (n</a:t>
                </a:r>
                <a:r>
                  <a:rPr lang="fr-FR" sz="1200"/>
                  <a:t>ombre</a:t>
                </a:r>
                <a:r>
                  <a:rPr lang="fr-FR" sz="1200" baseline="0"/>
                  <a:t> de votants/nombre d'inscrits)</a:t>
                </a:r>
                <a:endParaRPr lang="fr-FR" sz="1200"/>
              </a:p>
            </c:rich>
          </c:tx>
          <c:layout>
            <c:manualLayout>
              <c:xMode val="edge"/>
              <c:yMode val="edge"/>
              <c:x val="1.3919222470347387E-3"/>
              <c:y val="5.9107202814940182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0392"/>
        <c:crosses val="autoZero"/>
        <c:crossBetween val="midCat"/>
        <c:majorUnit val="5.000000000000001E-2"/>
      </c:valAx>
      <c:spPr>
        <a:noFill/>
        <a:ln w="25400">
          <a:solidFill>
            <a:schemeClr val="tx1"/>
          </a:solidFill>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900" b="1" baseline="0">
                <a:latin typeface="Arial" panose="020B0604020202020204" pitchFamily="34" charset="0"/>
                <a:cs typeface="Arial" panose="020B0604020202020204" pitchFamily="34" charset="0"/>
              </a:rPr>
              <a:t>Graph. 10. La gauche et ses composantes </a:t>
            </a:r>
            <a:r>
              <a:rPr lang="fr-FR" sz="1500" b="0" baseline="0">
                <a:latin typeface="Arial" panose="020B0604020202020204" pitchFamily="34" charset="0"/>
                <a:cs typeface="Arial" panose="020B0604020202020204" pitchFamily="34" charset="0"/>
              </a:rPr>
              <a:t>(européennes 1994-2024)</a:t>
            </a:r>
          </a:p>
        </c:rich>
      </c:tx>
      <c:layout>
        <c:manualLayout>
          <c:xMode val="edge"/>
          <c:yMode val="edge"/>
          <c:x val="0.14631733400616351"/>
          <c:y val="6.6900362553135853E-3"/>
        </c:manualLayout>
      </c:layout>
      <c:overlay val="0"/>
      <c:spPr>
        <a:noFill/>
        <a:ln w="25400">
          <a:noFill/>
        </a:ln>
      </c:spPr>
    </c:title>
    <c:autoTitleDeleted val="0"/>
    <c:plotArea>
      <c:layout>
        <c:manualLayout>
          <c:layoutTarget val="inner"/>
          <c:xMode val="edge"/>
          <c:yMode val="edge"/>
          <c:x val="9.8780613766609557E-2"/>
          <c:y val="7.70455215963054E-2"/>
          <c:w val="0.86780104755142351"/>
          <c:h val="0.66989077029564781"/>
        </c:manualLayout>
      </c:layout>
      <c:lineChart>
        <c:grouping val="standard"/>
        <c:varyColors val="0"/>
        <c:ser>
          <c:idx val="2"/>
          <c:order val="0"/>
          <c:tx>
            <c:v>Gauches (total)</c:v>
          </c:tx>
          <c:spPr>
            <a:ln w="50800">
              <a:solidFill>
                <a:srgbClr val="FF0000"/>
              </a:solidFill>
            </a:ln>
          </c:spPr>
          <c:marker>
            <c:symbol val="triangle"/>
            <c:size val="11"/>
            <c:spPr>
              <a:solidFill>
                <a:schemeClr val="bg1"/>
              </a:solidFill>
              <a:ln w="25400">
                <a:solidFill>
                  <a:srgbClr val="FF0000"/>
                </a:solidFill>
              </a:ln>
            </c:spPr>
          </c:marker>
          <c:cat>
            <c:numRef>
              <c:f>Data2!$A$6:$A$36</c:f>
              <c:numCache>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Cache>
            </c:numRef>
          </c:cat>
          <c:val>
            <c:numRef>
              <c:f>Data2!$I$6:$I$36</c:f>
              <c:numCache>
                <c:formatCode>General</c:formatCode>
                <c:ptCount val="31"/>
                <c:pt idx="0" formatCode="0%">
                  <c:v>0.44840715920991669</c:v>
                </c:pt>
                <c:pt idx="5" formatCode="0%">
                  <c:v>0.48007350304679874</c:v>
                </c:pt>
                <c:pt idx="10" formatCode="0%">
                  <c:v>0.48034319061473335</c:v>
                </c:pt>
                <c:pt idx="15" formatCode="0%">
                  <c:v>0.4704436821192936</c:v>
                </c:pt>
                <c:pt idx="20" formatCode="0%">
                  <c:v>0.35545695570919389</c:v>
                </c:pt>
                <c:pt idx="25" formatCode="0%">
                  <c:v>0.34133151037683385</c:v>
                </c:pt>
                <c:pt idx="30" formatCode="0%">
                  <c:v>0.35288719160427945</c:v>
                </c:pt>
              </c:numCache>
            </c:numRef>
          </c:val>
          <c:smooth val="0"/>
        </c:ser>
        <c:ser>
          <c:idx val="1"/>
          <c:order val="1"/>
          <c:tx>
            <c:v>Centre-gauche</c:v>
          </c:tx>
          <c:spPr>
            <a:ln w="50800">
              <a:solidFill>
                <a:srgbClr val="FCAAEE"/>
              </a:solidFill>
            </a:ln>
          </c:spPr>
          <c:marker>
            <c:symbol val="square"/>
            <c:size val="9"/>
            <c:spPr>
              <a:solidFill>
                <a:schemeClr val="bg1"/>
              </a:solidFill>
              <a:ln w="25400">
                <a:solidFill>
                  <a:srgbClr val="FCAAEE"/>
                </a:solidFill>
              </a:ln>
            </c:spPr>
          </c:marker>
          <c:cat>
            <c:numRef>
              <c:f>Data2!$A$6:$A$36</c:f>
              <c:numCache>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Cache>
            </c:numRef>
          </c:cat>
          <c:val>
            <c:numRef>
              <c:f>Data2!$C$6:$C$36</c:f>
              <c:numCache>
                <c:formatCode>General</c:formatCode>
                <c:ptCount val="31"/>
                <c:pt idx="0" formatCode="0%">
                  <c:v>0.33597138709087765</c:v>
                </c:pt>
                <c:pt idx="5" formatCode="0%">
                  <c:v>0.33783509138179363</c:v>
                </c:pt>
                <c:pt idx="10" formatCode="0%">
                  <c:v>0.37903608842607178</c:v>
                </c:pt>
                <c:pt idx="15" formatCode="0%">
                  <c:v>0.33687314309657906</c:v>
                </c:pt>
                <c:pt idx="20" formatCode="0%">
                  <c:v>0.26668757304764834</c:v>
                </c:pt>
                <c:pt idx="25" formatCode="0%">
                  <c:v>0.23805779198101809</c:v>
                </c:pt>
                <c:pt idx="30" formatCode="0%">
                  <c:v>0.20890152043777743</c:v>
                </c:pt>
              </c:numCache>
            </c:numRef>
          </c:val>
          <c:smooth val="0"/>
        </c:ser>
        <c:ser>
          <c:idx val="0"/>
          <c:order val="2"/>
          <c:tx>
            <c:v>Gauche</c:v>
          </c:tx>
          <c:spPr>
            <a:ln w="50800">
              <a:solidFill>
                <a:srgbClr val="7030A0"/>
              </a:solidFill>
            </a:ln>
          </c:spPr>
          <c:marker>
            <c:symbol val="circle"/>
            <c:size val="9"/>
            <c:spPr>
              <a:solidFill>
                <a:schemeClr val="bg1"/>
              </a:solidFill>
              <a:ln w="25400">
                <a:solidFill>
                  <a:srgbClr val="7030A0"/>
                </a:solidFill>
              </a:ln>
            </c:spPr>
          </c:marker>
          <c:val>
            <c:numRef>
              <c:f>Data2!$B$6:$B$36</c:f>
              <c:numCache>
                <c:formatCode>General</c:formatCode>
                <c:ptCount val="31"/>
                <c:pt idx="0" formatCode="0%">
                  <c:v>0.11243577300752321</c:v>
                </c:pt>
                <c:pt idx="5" formatCode="0%">
                  <c:v>0.14223841131297968</c:v>
                </c:pt>
                <c:pt idx="10" formatCode="0%">
                  <c:v>0.10130710243588562</c:v>
                </c:pt>
                <c:pt idx="15" formatCode="0%">
                  <c:v>0.1335705394568564</c:v>
                </c:pt>
                <c:pt idx="20" formatCode="0%">
                  <c:v>8.8769383266783103E-2</c:v>
                </c:pt>
                <c:pt idx="25" formatCode="0%">
                  <c:v>0.10327371744397235</c:v>
                </c:pt>
                <c:pt idx="30" formatCode="0%">
                  <c:v>0.14398566975175286</c:v>
                </c:pt>
              </c:numCache>
            </c:numRef>
          </c:val>
          <c:smooth val="0"/>
        </c:ser>
        <c:dLbls>
          <c:showLegendKey val="0"/>
          <c:showVal val="0"/>
          <c:showCatName val="0"/>
          <c:showSerName val="0"/>
          <c:showPercent val="0"/>
          <c:showBubbleSize val="0"/>
        </c:dLbls>
        <c:marker val="1"/>
        <c:smooth val="0"/>
        <c:axId val="634618232"/>
        <c:axId val="634626856"/>
      </c:lineChart>
      <c:catAx>
        <c:axId val="6346182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6856"/>
        <c:crossesAt val="0"/>
        <c:auto val="1"/>
        <c:lblAlgn val="ctr"/>
        <c:lblOffset val="100"/>
        <c:tickLblSkip val="5"/>
        <c:tickMarkSkip val="5"/>
        <c:noMultiLvlLbl val="0"/>
      </c:catAx>
      <c:valAx>
        <c:axId val="634626856"/>
        <c:scaling>
          <c:orientation val="minMax"/>
          <c:max val="0.8"/>
          <c:min val="0"/>
        </c:scaling>
        <c:delete val="0"/>
        <c:axPos val="l"/>
        <c:majorGridlines>
          <c:spPr>
            <a:ln w="12700">
              <a:solidFill>
                <a:srgbClr val="000000"/>
              </a:solidFill>
              <a:prstDash val="sysDash"/>
            </a:ln>
          </c:spPr>
        </c:majorGridlines>
        <c:title>
          <c:tx>
            <c:rich>
              <a:bodyPr/>
              <a:lstStyle/>
              <a:p>
                <a:pPr>
                  <a:defRPr/>
                </a:pPr>
                <a:r>
                  <a:rPr lang="fr-FR" sz="1200" baseline="0"/>
                  <a:t>Répartition des suffrages exprmés entre courants politiques </a:t>
                </a:r>
                <a:endParaRPr lang="fr-FR" sz="1200"/>
              </a:p>
            </c:rich>
          </c:tx>
          <c:layout>
            <c:manualLayout>
              <c:xMode val="edge"/>
              <c:yMode val="edge"/>
              <c:x val="4.1762052108622978E-3"/>
              <c:y val="7.265506229046987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8232"/>
        <c:crosses val="autoZero"/>
        <c:crossBetween val="midCat"/>
        <c:majorUnit val="0.1"/>
      </c:valAx>
      <c:spPr>
        <a:solidFill>
          <a:schemeClr val="bg1"/>
        </a:solidFill>
        <a:ln w="25400">
          <a:solidFill>
            <a:schemeClr val="tx1"/>
          </a:solidFill>
        </a:ln>
      </c:spPr>
    </c:plotArea>
    <c:legend>
      <c:legendPos val="l"/>
      <c:layout>
        <c:manualLayout>
          <c:xMode val="edge"/>
          <c:yMode val="edge"/>
          <c:x val="0.41218895530297245"/>
          <c:y val="0.1386678968778545"/>
          <c:w val="0.21731925614230474"/>
          <c:h val="0.1565606259609547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900" b="1" baseline="0">
                <a:latin typeface="Arial" panose="020B0604020202020204" pitchFamily="34" charset="0"/>
                <a:cs typeface="Arial" panose="020B0604020202020204" pitchFamily="34" charset="0"/>
              </a:rPr>
              <a:t>Graph. 11. La droite et ses composantes </a:t>
            </a:r>
            <a:r>
              <a:rPr lang="fr-FR" sz="1700" b="0" baseline="0">
                <a:latin typeface="Arial" panose="020B0604020202020204" pitchFamily="34" charset="0"/>
                <a:cs typeface="Arial" panose="020B0604020202020204" pitchFamily="34" charset="0"/>
              </a:rPr>
              <a:t>(européennes 1994-2024)</a:t>
            </a:r>
          </a:p>
        </c:rich>
      </c:tx>
      <c:layout>
        <c:manualLayout>
          <c:xMode val="edge"/>
          <c:yMode val="edge"/>
          <c:x val="0.13620899571443265"/>
          <c:y val="8.9369845413937339E-3"/>
        </c:manualLayout>
      </c:layout>
      <c:overlay val="0"/>
      <c:spPr>
        <a:noFill/>
        <a:ln w="25400">
          <a:noFill/>
        </a:ln>
      </c:spPr>
    </c:title>
    <c:autoTitleDeleted val="0"/>
    <c:plotArea>
      <c:layout>
        <c:manualLayout>
          <c:layoutTarget val="inner"/>
          <c:xMode val="edge"/>
          <c:yMode val="edge"/>
          <c:x val="9.8780613766609557E-2"/>
          <c:y val="7.70455215963054E-2"/>
          <c:w val="0.86780104755142351"/>
          <c:h val="0.66989077029564781"/>
        </c:manualLayout>
      </c:layout>
      <c:lineChart>
        <c:grouping val="standard"/>
        <c:varyColors val="0"/>
        <c:ser>
          <c:idx val="2"/>
          <c:order val="0"/>
          <c:tx>
            <c:v>Droites (total)</c:v>
          </c:tx>
          <c:spPr>
            <a:ln w="50800">
              <a:solidFill>
                <a:srgbClr val="00B0F0"/>
              </a:solidFill>
            </a:ln>
          </c:spPr>
          <c:marker>
            <c:symbol val="circle"/>
            <c:size val="10"/>
            <c:spPr>
              <a:solidFill>
                <a:schemeClr val="bg1"/>
              </a:solidFill>
              <a:ln w="25400">
                <a:solidFill>
                  <a:srgbClr val="00B0F0"/>
                </a:solidFill>
              </a:ln>
            </c:spPr>
          </c:marker>
          <c:cat>
            <c:numRef>
              <c:f>Data2!$A$6:$A$36</c:f>
              <c:numCache>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Cache>
            </c:numRef>
          </c:cat>
          <c:val>
            <c:numRef>
              <c:f>Data2!$K$6:$K$36</c:f>
              <c:numCache>
                <c:formatCode>General</c:formatCode>
                <c:ptCount val="31"/>
                <c:pt idx="0" formatCode="0%">
                  <c:v>0.51560317314247928</c:v>
                </c:pt>
                <c:pt idx="5" formatCode="0%">
                  <c:v>0.48286541657660825</c:v>
                </c:pt>
                <c:pt idx="10" formatCode="0%">
                  <c:v>0.50559031276737887</c:v>
                </c:pt>
                <c:pt idx="15" formatCode="0%">
                  <c:v>0.43560234952994464</c:v>
                </c:pt>
                <c:pt idx="20" formatCode="0%">
                  <c:v>0.53655280737401878</c:v>
                </c:pt>
                <c:pt idx="25" formatCode="0%">
                  <c:v>0.40821421596825835</c:v>
                </c:pt>
                <c:pt idx="30" formatCode="0%">
                  <c:v>0.48575172878660888</c:v>
                </c:pt>
              </c:numCache>
            </c:numRef>
          </c:val>
          <c:smooth val="0"/>
        </c:ser>
        <c:ser>
          <c:idx val="1"/>
          <c:order val="1"/>
          <c:tx>
            <c:v>Centre-droit</c:v>
          </c:tx>
          <c:spPr>
            <a:ln w="50800">
              <a:solidFill>
                <a:srgbClr val="83F7FD"/>
              </a:solidFill>
            </a:ln>
          </c:spPr>
          <c:marker>
            <c:symbol val="square"/>
            <c:size val="9"/>
            <c:spPr>
              <a:solidFill>
                <a:schemeClr val="bg1"/>
              </a:solidFill>
              <a:ln w="25400">
                <a:solidFill>
                  <a:srgbClr val="83F7FD"/>
                </a:solidFill>
              </a:ln>
            </c:spPr>
          </c:marker>
          <c:cat>
            <c:numRef>
              <c:f>Data2!$A$6:$A$36</c:f>
              <c:numCache>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Cache>
            </c:numRef>
          </c:cat>
          <c:val>
            <c:numRef>
              <c:f>Data2!$E$6:$E$36</c:f>
              <c:numCache>
                <c:formatCode>General</c:formatCode>
                <c:ptCount val="31"/>
                <c:pt idx="0" formatCode="0%">
                  <c:v>0.39374906976215079</c:v>
                </c:pt>
                <c:pt idx="5" formatCode="0%">
                  <c:v>0.37082659857038514</c:v>
                </c:pt>
                <c:pt idx="10" formatCode="0%">
                  <c:v>0.39179969022440186</c:v>
                </c:pt>
                <c:pt idx="15" formatCode="0%">
                  <c:v>0.36131678058400651</c:v>
                </c:pt>
                <c:pt idx="20" formatCode="0%">
                  <c:v>0.27602481855445055</c:v>
                </c:pt>
                <c:pt idx="25" formatCode="0%">
                  <c:v>0.11842988421478232</c:v>
                </c:pt>
                <c:pt idx="30" formatCode="0%">
                  <c:v>8.8771784355258967E-2</c:v>
                </c:pt>
              </c:numCache>
            </c:numRef>
          </c:val>
          <c:smooth val="0"/>
        </c:ser>
        <c:ser>
          <c:idx val="0"/>
          <c:order val="2"/>
          <c:tx>
            <c:v>Droite</c:v>
          </c:tx>
          <c:spPr>
            <a:ln w="50800">
              <a:solidFill>
                <a:schemeClr val="tx1"/>
              </a:solidFill>
            </a:ln>
          </c:spPr>
          <c:marker>
            <c:symbol val="triangle"/>
            <c:size val="9"/>
            <c:spPr>
              <a:solidFill>
                <a:schemeClr val="bg1"/>
              </a:solidFill>
              <a:ln w="25400">
                <a:solidFill>
                  <a:schemeClr val="tx1"/>
                </a:solidFill>
              </a:ln>
            </c:spPr>
          </c:marker>
          <c:val>
            <c:numRef>
              <c:f>Data2!$F$6:$F$36</c:f>
              <c:numCache>
                <c:formatCode>General</c:formatCode>
                <c:ptCount val="31"/>
                <c:pt idx="0" formatCode="0%">
                  <c:v>0.12185410318993899</c:v>
                </c:pt>
                <c:pt idx="5" formatCode="0%">
                  <c:v>0.11203881786541291</c:v>
                </c:pt>
                <c:pt idx="10" formatCode="0%">
                  <c:v>0.11379062145228279</c:v>
                </c:pt>
                <c:pt idx="15" formatCode="0%">
                  <c:v>7.4285569481379765E-2</c:v>
                </c:pt>
                <c:pt idx="20" formatCode="0%">
                  <c:v>0.26052798829327478</c:v>
                </c:pt>
                <c:pt idx="25" formatCode="0%">
                  <c:v>0.2897843309565839</c:v>
                </c:pt>
                <c:pt idx="30" formatCode="0%">
                  <c:v>0.39697994311765428</c:v>
                </c:pt>
              </c:numCache>
            </c:numRef>
          </c:val>
          <c:smooth val="0"/>
        </c:ser>
        <c:dLbls>
          <c:showLegendKey val="0"/>
          <c:showVal val="0"/>
          <c:showCatName val="0"/>
          <c:showSerName val="0"/>
          <c:showPercent val="0"/>
          <c:showBubbleSize val="0"/>
        </c:dLbls>
        <c:marker val="1"/>
        <c:smooth val="0"/>
        <c:axId val="634618624"/>
        <c:axId val="634622544"/>
      </c:lineChart>
      <c:catAx>
        <c:axId val="6346186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2544"/>
        <c:crossesAt val="0"/>
        <c:auto val="1"/>
        <c:lblAlgn val="ctr"/>
        <c:lblOffset val="100"/>
        <c:tickLblSkip val="5"/>
        <c:tickMarkSkip val="5"/>
        <c:noMultiLvlLbl val="0"/>
      </c:catAx>
      <c:valAx>
        <c:axId val="634622544"/>
        <c:scaling>
          <c:orientation val="minMax"/>
          <c:max val="0.8"/>
          <c:min val="0"/>
        </c:scaling>
        <c:delete val="0"/>
        <c:axPos val="l"/>
        <c:majorGridlines>
          <c:spPr>
            <a:ln w="12700">
              <a:solidFill>
                <a:srgbClr val="000000"/>
              </a:solidFill>
              <a:prstDash val="sysDash"/>
            </a:ln>
          </c:spPr>
        </c:majorGridlines>
        <c:title>
          <c:tx>
            <c:rich>
              <a:bodyPr/>
              <a:lstStyle/>
              <a:p>
                <a:pPr>
                  <a:defRPr/>
                </a:pPr>
                <a:r>
                  <a:rPr lang="fr-FR" sz="1200" baseline="0"/>
                  <a:t>Répartition des suffrages exprmés entre courants politiques </a:t>
                </a:r>
                <a:endParaRPr lang="fr-FR" sz="1200"/>
              </a:p>
            </c:rich>
          </c:tx>
          <c:layout>
            <c:manualLayout>
              <c:xMode val="edge"/>
              <c:yMode val="edge"/>
              <c:x val="4.1762052108622978E-3"/>
              <c:y val="7.265506229046987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8624"/>
        <c:crosses val="autoZero"/>
        <c:crossBetween val="midCat"/>
        <c:majorUnit val="0.1"/>
      </c:valAx>
      <c:spPr>
        <a:solidFill>
          <a:schemeClr val="bg1"/>
        </a:solidFill>
        <a:ln w="25400">
          <a:solidFill>
            <a:schemeClr val="tx1"/>
          </a:solidFill>
        </a:ln>
      </c:spPr>
    </c:plotArea>
    <c:legend>
      <c:legendPos val="l"/>
      <c:layout>
        <c:manualLayout>
          <c:xMode val="edge"/>
          <c:yMode val="edge"/>
          <c:x val="0.41635126859142602"/>
          <c:y val="8.2375806350953429E-2"/>
          <c:w val="0.21731925614230474"/>
          <c:h val="0.1565606259609547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Graph. 12. L</a:t>
            </a:r>
            <a:r>
              <a:rPr lang="fr-FR" sz="1800"/>
              <a:t>e</a:t>
            </a:r>
            <a:r>
              <a:rPr lang="fr-FR" sz="1800" baseline="0"/>
              <a:t>s européennes 1994 et le clivage territorial</a:t>
            </a:r>
            <a:endParaRPr lang="fr-FR" sz="1800"/>
          </a:p>
        </c:rich>
      </c:tx>
      <c:layout>
        <c:manualLayout>
          <c:xMode val="edge"/>
          <c:yMode val="edge"/>
          <c:x val="0.20619947806853375"/>
          <c:y val="2.258409349675531E-3"/>
        </c:manualLayout>
      </c:layout>
      <c:overlay val="0"/>
    </c:title>
    <c:autoTitleDeleted val="0"/>
    <c:plotArea>
      <c:layout>
        <c:manualLayout>
          <c:layoutTarget val="inner"/>
          <c:xMode val="edge"/>
          <c:yMode val="edge"/>
          <c:x val="0.11489236400841887"/>
          <c:y val="5.7721210187661916E-2"/>
          <c:w val="0.872547409409551"/>
          <c:h val="0.71795898463114705"/>
        </c:manualLayout>
      </c:layout>
      <c:barChart>
        <c:barDir val="col"/>
        <c:grouping val="clustered"/>
        <c:varyColors val="0"/>
        <c:ser>
          <c:idx val="0"/>
          <c:order val="0"/>
          <c:tx>
            <c:v>Villages</c:v>
          </c:tx>
          <c:spPr>
            <a:solidFill>
              <a:srgbClr val="00B050"/>
            </a:solidFill>
            <a:ln>
              <a:solidFill>
                <a:srgbClr val="00B050"/>
              </a:solidFill>
            </a:ln>
          </c:spPr>
          <c:invertIfNegative val="0"/>
          <c:cat>
            <c:strRef>
              <c:extLst>
                <c:ext xmlns:c15="http://schemas.microsoft.com/office/drawing/2012/chart" uri="{02D57815-91ED-43cb-92C2-25804820EDAC}">
                  <c15:fullRef>
                    <c15:sqref>(DataB1!$A$21:$A$23,DataB1!$A$24:$A$26,DataB1!$A$27:$A$32)</c15:sqref>
                  </c15:fullRef>
                </c:ext>
              </c:extLst>
              <c:f>(DataB1!$A$21,DataB1!$A$23,DataB1!$A$24,DataB1!$A$26,DataB1!$A$27,DataB1!$A$29:$A$31)</c:f>
              <c:strCache>
                <c:ptCount val="8"/>
                <c:pt idx="0">
                  <c:v>LO</c:v>
                </c:pt>
                <c:pt idx="1">
                  <c:v>PCF</c:v>
                </c:pt>
                <c:pt idx="2">
                  <c:v>PS</c:v>
                </c:pt>
                <c:pt idx="3">
                  <c:v>MRG</c:v>
                </c:pt>
                <c:pt idx="4">
                  <c:v>Verts</c:v>
                </c:pt>
                <c:pt idx="5">
                  <c:v>UDF-RPR</c:v>
                </c:pt>
                <c:pt idx="6">
                  <c:v>MPF</c:v>
                </c:pt>
                <c:pt idx="7">
                  <c:v>FN</c:v>
                </c:pt>
              </c:strCache>
            </c:strRef>
          </c:cat>
          <c:val>
            <c:numRef>
              <c:extLst>
                <c:ext xmlns:c15="http://schemas.microsoft.com/office/drawing/2012/chart" uri="{02D57815-91ED-43cb-92C2-25804820EDAC}">
                  <c15:fullRef>
                    <c15:sqref>(DataB1!$B$21:$B$23,DataB1!$B$24:$B$26,DataB1!$B$27:$B$32)</c15:sqref>
                  </c15:fullRef>
                </c:ext>
              </c:extLst>
              <c:f>(DataB1!$B$21,DataB1!$B$23,DataB1!$B$24,DataB1!$B$26,DataB1!$B$27,DataB1!$B$29:$B$31)</c:f>
              <c:numCache>
                <c:formatCode>0%</c:formatCode>
                <c:ptCount val="8"/>
                <c:pt idx="0">
                  <c:v>1.0742580415474503</c:v>
                </c:pt>
                <c:pt idx="1">
                  <c:v>0.84077511158624396</c:v>
                </c:pt>
                <c:pt idx="2">
                  <c:v>0.92550678710891321</c:v>
                </c:pt>
                <c:pt idx="3">
                  <c:v>0.9264959001955414</c:v>
                </c:pt>
                <c:pt idx="4">
                  <c:v>0.94466420528648465</c:v>
                </c:pt>
                <c:pt idx="5">
                  <c:v>1.0616873951304397</c:v>
                </c:pt>
                <c:pt idx="6">
                  <c:v>1.0769873810851964</c:v>
                </c:pt>
                <c:pt idx="7">
                  <c:v>0.82713766381825404</c:v>
                </c:pt>
              </c:numCache>
            </c:numRef>
          </c:val>
          <c:extLst/>
        </c:ser>
        <c:ser>
          <c:idx val="1"/>
          <c:order val="1"/>
          <c:tx>
            <c:v>Bourgs</c:v>
          </c:tx>
          <c:spPr>
            <a:solidFill>
              <a:srgbClr val="00B0F0"/>
            </a:solidFill>
            <a:ln>
              <a:solidFill>
                <a:srgbClr val="00B0F0"/>
              </a:solidFill>
            </a:ln>
          </c:spPr>
          <c:invertIfNegative val="0"/>
          <c:cat>
            <c:strRef>
              <c:extLst>
                <c:ext xmlns:c15="http://schemas.microsoft.com/office/drawing/2012/chart" uri="{02D57815-91ED-43cb-92C2-25804820EDAC}">
                  <c15:fullRef>
                    <c15:sqref>(DataB1!$A$21:$A$23,DataB1!$A$24:$A$26,DataB1!$A$27:$A$32)</c15:sqref>
                  </c15:fullRef>
                </c:ext>
              </c:extLst>
              <c:f>(DataB1!$A$21,DataB1!$A$23,DataB1!$A$24,DataB1!$A$26,DataB1!$A$27,DataB1!$A$29:$A$31)</c:f>
              <c:strCache>
                <c:ptCount val="8"/>
                <c:pt idx="0">
                  <c:v>LO</c:v>
                </c:pt>
                <c:pt idx="1">
                  <c:v>PCF</c:v>
                </c:pt>
                <c:pt idx="2">
                  <c:v>PS</c:v>
                </c:pt>
                <c:pt idx="3">
                  <c:v>MRG</c:v>
                </c:pt>
                <c:pt idx="4">
                  <c:v>Verts</c:v>
                </c:pt>
                <c:pt idx="5">
                  <c:v>UDF-RPR</c:v>
                </c:pt>
                <c:pt idx="6">
                  <c:v>MPF</c:v>
                </c:pt>
                <c:pt idx="7">
                  <c:v>FN</c:v>
                </c:pt>
              </c:strCache>
            </c:strRef>
          </c:cat>
          <c:val>
            <c:numRef>
              <c:extLst>
                <c:ext xmlns:c15="http://schemas.microsoft.com/office/drawing/2012/chart" uri="{02D57815-91ED-43cb-92C2-25804820EDAC}">
                  <c15:fullRef>
                    <c15:sqref>(DataB1!$C$21:$C$23,DataB1!$C$24:$C$26,DataB1!$C$27:$C$32)</c15:sqref>
                  </c15:fullRef>
                </c:ext>
              </c:extLst>
              <c:f>(DataB1!$C$21,DataB1!$C$23,DataB1!$C$24,DataB1!$C$26,DataB1!$C$27,DataB1!$C$29:$C$31)</c:f>
              <c:numCache>
                <c:formatCode>0%</c:formatCode>
                <c:ptCount val="8"/>
                <c:pt idx="0">
                  <c:v>1.0488315269982582</c:v>
                </c:pt>
                <c:pt idx="1">
                  <c:v>0.96879308965371669</c:v>
                </c:pt>
                <c:pt idx="2">
                  <c:v>0.99962500570509416</c:v>
                </c:pt>
                <c:pt idx="3">
                  <c:v>1.0208863538967052</c:v>
                </c:pt>
                <c:pt idx="4">
                  <c:v>0.97892499085212836</c:v>
                </c:pt>
                <c:pt idx="5">
                  <c:v>0.99876701227115794</c:v>
                </c:pt>
                <c:pt idx="6">
                  <c:v>1.0027136848135807</c:v>
                </c:pt>
                <c:pt idx="7">
                  <c:v>0.95452565272174983</c:v>
                </c:pt>
              </c:numCache>
            </c:numRef>
          </c:val>
        </c:ser>
        <c:ser>
          <c:idx val="3"/>
          <c:order val="2"/>
          <c:tx>
            <c:v>Banlieues</c:v>
          </c:tx>
          <c:spPr>
            <a:solidFill>
              <a:srgbClr val="FF0000"/>
            </a:solidFill>
            <a:ln>
              <a:solidFill>
                <a:srgbClr val="FF0000"/>
              </a:solidFill>
            </a:ln>
          </c:spPr>
          <c:invertIfNegative val="0"/>
          <c:cat>
            <c:strRef>
              <c:extLst>
                <c:ext xmlns:c15="http://schemas.microsoft.com/office/drawing/2012/chart" uri="{02D57815-91ED-43cb-92C2-25804820EDAC}">
                  <c15:fullRef>
                    <c15:sqref>(DataB1!$A$21:$A$23,DataB1!$A$24:$A$26,DataB1!$A$27:$A$32)</c15:sqref>
                  </c15:fullRef>
                </c:ext>
              </c:extLst>
              <c:f>(DataB1!$A$21,DataB1!$A$23,DataB1!$A$24,DataB1!$A$26,DataB1!$A$27,DataB1!$A$29:$A$31)</c:f>
              <c:strCache>
                <c:ptCount val="8"/>
                <c:pt idx="0">
                  <c:v>LO</c:v>
                </c:pt>
                <c:pt idx="1">
                  <c:v>PCF</c:v>
                </c:pt>
                <c:pt idx="2">
                  <c:v>PS</c:v>
                </c:pt>
                <c:pt idx="3">
                  <c:v>MRG</c:v>
                </c:pt>
                <c:pt idx="4">
                  <c:v>Verts</c:v>
                </c:pt>
                <c:pt idx="5">
                  <c:v>UDF-RPR</c:v>
                </c:pt>
                <c:pt idx="6">
                  <c:v>MPF</c:v>
                </c:pt>
                <c:pt idx="7">
                  <c:v>FN</c:v>
                </c:pt>
              </c:strCache>
            </c:strRef>
          </c:cat>
          <c:val>
            <c:numRef>
              <c:extLst>
                <c:ext xmlns:c15="http://schemas.microsoft.com/office/drawing/2012/chart" uri="{02D57815-91ED-43cb-92C2-25804820EDAC}">
                  <c15:fullRef>
                    <c15:sqref>(DataB1!$D$21:$D$23,DataB1!$D$24:$D$26,DataB1!$D$27:$D$32)</c15:sqref>
                  </c15:fullRef>
                </c:ext>
              </c:extLst>
              <c:f>(DataB1!$D$21,DataB1!$D$23,DataB1!$D$24,DataB1!$D$26,DataB1!$D$27,DataB1!$D$29:$D$31)</c:f>
              <c:numCache>
                <c:formatCode>0%</c:formatCode>
                <c:ptCount val="8"/>
                <c:pt idx="0">
                  <c:v>0.93939653740735118</c:v>
                </c:pt>
                <c:pt idx="1">
                  <c:v>1.261479402932735</c:v>
                </c:pt>
                <c:pt idx="2">
                  <c:v>1.0081325859762824</c:v>
                </c:pt>
                <c:pt idx="3">
                  <c:v>1.056698239313183</c:v>
                </c:pt>
                <c:pt idx="4">
                  <c:v>1.0719263481929515</c:v>
                </c:pt>
                <c:pt idx="5">
                  <c:v>0.91968964199698822</c:v>
                </c:pt>
                <c:pt idx="6">
                  <c:v>0.92471443863166936</c:v>
                </c:pt>
                <c:pt idx="7">
                  <c:v>1.1572681836704668</c:v>
                </c:pt>
              </c:numCache>
            </c:numRef>
          </c:val>
        </c:ser>
        <c:ser>
          <c:idx val="4"/>
          <c:order val="3"/>
          <c:tx>
            <c:v>Métropoles</c:v>
          </c:tx>
          <c:spPr>
            <a:solidFill>
              <a:srgbClr val="FFC000"/>
            </a:solidFill>
            <a:ln>
              <a:solidFill>
                <a:srgbClr val="FFC000"/>
              </a:solidFill>
            </a:ln>
          </c:spPr>
          <c:invertIfNegative val="0"/>
          <c:cat>
            <c:strRef>
              <c:extLst>
                <c:ext xmlns:c15="http://schemas.microsoft.com/office/drawing/2012/chart" uri="{02D57815-91ED-43cb-92C2-25804820EDAC}">
                  <c15:fullRef>
                    <c15:sqref>(DataB1!$A$21:$A$23,DataB1!$A$24:$A$26,DataB1!$A$27:$A$32)</c15:sqref>
                  </c15:fullRef>
                </c:ext>
              </c:extLst>
              <c:f>(DataB1!$A$21,DataB1!$A$23,DataB1!$A$24,DataB1!$A$26,DataB1!$A$27,DataB1!$A$29:$A$31)</c:f>
              <c:strCache>
                <c:ptCount val="8"/>
                <c:pt idx="0">
                  <c:v>LO</c:v>
                </c:pt>
                <c:pt idx="1">
                  <c:v>PCF</c:v>
                </c:pt>
                <c:pt idx="2">
                  <c:v>PS</c:v>
                </c:pt>
                <c:pt idx="3">
                  <c:v>MRG</c:v>
                </c:pt>
                <c:pt idx="4">
                  <c:v>Verts</c:v>
                </c:pt>
                <c:pt idx="5">
                  <c:v>UDF-RPR</c:v>
                </c:pt>
                <c:pt idx="6">
                  <c:v>MPF</c:v>
                </c:pt>
                <c:pt idx="7">
                  <c:v>FN</c:v>
                </c:pt>
              </c:strCache>
            </c:strRef>
          </c:cat>
          <c:val>
            <c:numRef>
              <c:extLst>
                <c:ext xmlns:c15="http://schemas.microsoft.com/office/drawing/2012/chart" uri="{02D57815-91ED-43cb-92C2-25804820EDAC}">
                  <c15:fullRef>
                    <c15:sqref>(DataB1!$E$21:$E$23,DataB1!$E$24:$E$26,DataB1!$E$27:$E$32)</c15:sqref>
                  </c15:fullRef>
                </c:ext>
              </c:extLst>
              <c:f>(DataB1!$E$21,DataB1!$E$23,DataB1!$E$24,DataB1!$E$26,DataB1!$E$27,DataB1!$E$29:$E$31)</c:f>
              <c:numCache>
                <c:formatCode>0%</c:formatCode>
                <c:ptCount val="8"/>
                <c:pt idx="0">
                  <c:v>0.87637567410646566</c:v>
                </c:pt>
                <c:pt idx="1">
                  <c:v>0.8211576689795349</c:v>
                </c:pt>
                <c:pt idx="2">
                  <c:v>1.1153238005836259</c:v>
                </c:pt>
                <c:pt idx="3">
                  <c:v>0.96371502462868797</c:v>
                </c:pt>
                <c:pt idx="4">
                  <c:v>1.00093584315805</c:v>
                </c:pt>
                <c:pt idx="5">
                  <c:v>1.0582888535579369</c:v>
                </c:pt>
                <c:pt idx="6">
                  <c:v>1.0116999200952825</c:v>
                </c:pt>
                <c:pt idx="7">
                  <c:v>1.0918259242548938</c:v>
                </c:pt>
              </c:numCache>
            </c:numRef>
          </c:val>
        </c:ser>
        <c:dLbls>
          <c:showLegendKey val="0"/>
          <c:showVal val="0"/>
          <c:showCatName val="0"/>
          <c:showSerName val="0"/>
          <c:showPercent val="0"/>
          <c:showBubbleSize val="0"/>
        </c:dLbls>
        <c:gapWidth val="50"/>
        <c:axId val="634621760"/>
        <c:axId val="634619408"/>
        <c:extLst>
          <c:ext xmlns:c15="http://schemas.microsoft.com/office/drawing/2012/chart" uri="{02D57815-91ED-43cb-92C2-25804820EDAC}">
            <c15:filteredBarSeries>
              <c15:ser>
                <c:idx val="2"/>
                <c:order val="4"/>
                <c:tx>
                  <c:v>Total</c:v>
                </c:tx>
                <c:spPr>
                  <a:solidFill>
                    <a:schemeClr val="tx1"/>
                  </a:solidFill>
                  <a:ln>
                    <a:solidFill>
                      <a:schemeClr val="tx1"/>
                    </a:solidFill>
                  </a:ln>
                </c:spPr>
                <c:invertIfNegative val="0"/>
                <c:cat>
                  <c:strRef>
                    <c:extLst>
                      <c:ext uri="{02D57815-91ED-43cb-92C2-25804820EDAC}">
                        <c15:fullRef>
                          <c15:sqref>(DataB1!$A$21:$A$23,DataB1!$A$24:$A$26,DataB1!$A$27:$A$32)</c15:sqref>
                        </c15:fullRef>
                        <c15:formulaRef>
                          <c15:sqref>(DataB1!$A$21,DataB1!$A$23,DataB1!$A$24,DataB1!$A$26,DataB1!$A$27,DataB1!$A$29:$A$31)</c15:sqref>
                        </c15:formulaRef>
                      </c:ext>
                    </c:extLst>
                    <c:strCache>
                      <c:ptCount val="8"/>
                      <c:pt idx="0">
                        <c:v>LO</c:v>
                      </c:pt>
                      <c:pt idx="1">
                        <c:v>PCF</c:v>
                      </c:pt>
                      <c:pt idx="2">
                        <c:v>PS</c:v>
                      </c:pt>
                      <c:pt idx="3">
                        <c:v>MRG</c:v>
                      </c:pt>
                      <c:pt idx="4">
                        <c:v>Verts</c:v>
                      </c:pt>
                      <c:pt idx="5">
                        <c:v>UDF-RPR</c:v>
                      </c:pt>
                      <c:pt idx="6">
                        <c:v>MPF</c:v>
                      </c:pt>
                      <c:pt idx="7">
                        <c:v>FN</c:v>
                      </c:pt>
                    </c:strCache>
                  </c:strRef>
                </c:cat>
                <c:val>
                  <c:numRef>
                    <c:extLst>
                      <c:ext uri="{02D57815-91ED-43cb-92C2-25804820EDAC}">
                        <c15:fullRef>
                          <c15:sqref>(DataB1!$F$21:$F$23,DataB1!$F$24:$F$26,DataB1!$F$27:$F$32)</c15:sqref>
                        </c15:fullRef>
                        <c15:formulaRef>
                          <c15:sqref>(DataB1!$F$21,DataB1!$F$23,DataB1!$F$24,DataB1!$F$26,DataB1!$F$27,DataB1!$F$29:$F$31)</c15:sqref>
                        </c15:formulaRef>
                      </c:ext>
                    </c:extLst>
                    <c:numCache>
                      <c:formatCode>0%</c:formatCode>
                      <c:ptCount val="8"/>
                      <c:pt idx="0">
                        <c:v>1</c:v>
                      </c:pt>
                      <c:pt idx="1">
                        <c:v>1</c:v>
                      </c:pt>
                      <c:pt idx="2">
                        <c:v>1</c:v>
                      </c:pt>
                      <c:pt idx="3">
                        <c:v>1</c:v>
                      </c:pt>
                      <c:pt idx="4">
                        <c:v>1</c:v>
                      </c:pt>
                      <c:pt idx="5">
                        <c:v>1</c:v>
                      </c:pt>
                      <c:pt idx="6">
                        <c:v>1</c:v>
                      </c:pt>
                      <c:pt idx="7">
                        <c:v>1</c:v>
                      </c:pt>
                    </c:numCache>
                  </c:numRef>
                </c:val>
              </c15:ser>
            </c15:filteredBarSeries>
          </c:ext>
        </c:extLst>
      </c:barChart>
      <c:catAx>
        <c:axId val="634621760"/>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4619408"/>
        <c:crosses val="autoZero"/>
        <c:auto val="1"/>
        <c:lblAlgn val="ctr"/>
        <c:lblOffset val="100"/>
        <c:tickLblSkip val="1"/>
        <c:noMultiLvlLbl val="0"/>
      </c:catAx>
      <c:valAx>
        <c:axId val="634619408"/>
        <c:scaling>
          <c:orientation val="minMax"/>
          <c:max val="1.5"/>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voix pour les différents candidats </a:t>
                </a:r>
              </a:p>
              <a:p>
                <a:pPr>
                  <a:defRPr sz="1200" b="0">
                    <a:latin typeface="Arial Narrow" panose="020B0606020202030204" pitchFamily="34" charset="0"/>
                    <a:cs typeface="Arial" panose="020B0604020202020204" pitchFamily="34" charset="0"/>
                  </a:defRPr>
                </a:pPr>
                <a:r>
                  <a:rPr lang="fr-FR" sz="1200" b="0" baseline="0">
                    <a:latin typeface="Arial" panose="020B0604020202020204" pitchFamily="34" charset="0"/>
                    <a:cs typeface="Arial" panose="020B0604020202020204" pitchFamily="34" charset="0"/>
                  </a:rPr>
                  <a:t>(% moyenne nationale)</a:t>
                </a:r>
                <a:endParaRPr lang="fr-FR" sz="1200" b="0">
                  <a:latin typeface="Arial" panose="020B0604020202020204" pitchFamily="34" charset="0"/>
                  <a:cs typeface="Arial" panose="020B0604020202020204" pitchFamily="34" charset="0"/>
                </a:endParaRPr>
              </a:p>
            </c:rich>
          </c:tx>
          <c:layout>
            <c:manualLayout>
              <c:xMode val="edge"/>
              <c:yMode val="edge"/>
              <c:x val="1.3786389814930632E-3"/>
              <c:y val="7.7704149989196392E-2"/>
            </c:manualLayout>
          </c:layout>
          <c:overlay val="0"/>
        </c:title>
        <c:numFmt formatCode="0%" sourceLinked="0"/>
        <c:majorTickMark val="out"/>
        <c:minorTickMark val="none"/>
        <c:tickLblPos val="nextTo"/>
        <c:txPr>
          <a:bodyPr/>
          <a:lstStyle/>
          <a:p>
            <a:pPr>
              <a:defRPr sz="1400" b="0" i="0">
                <a:latin typeface="Arial"/>
              </a:defRPr>
            </a:pPr>
            <a:endParaRPr lang="fr-FR"/>
          </a:p>
        </c:txPr>
        <c:crossAx val="634621760"/>
        <c:crosses val="autoZero"/>
        <c:crossBetween val="between"/>
        <c:majorUnit val="0.1"/>
      </c:valAx>
      <c:spPr>
        <a:noFill/>
        <a:ln w="28575">
          <a:solidFill>
            <a:schemeClr val="tx1"/>
          </a:solidFill>
        </a:ln>
      </c:spPr>
    </c:plotArea>
    <c:legend>
      <c:legendPos val="t"/>
      <c:layout>
        <c:manualLayout>
          <c:xMode val="edge"/>
          <c:yMode val="edge"/>
          <c:x val="0.25278606564162209"/>
          <c:y val="8.7890789840173414E-2"/>
          <c:w val="0.58718042921590829"/>
          <c:h val="5.9859473273938132E-2"/>
        </c:manualLayout>
      </c:layout>
      <c:overlay val="0"/>
      <c:spPr>
        <a:solidFill>
          <a:sysClr val="window" lastClr="FFFFFF"/>
        </a:solidFill>
        <a:ln w="15875">
          <a:solidFill>
            <a:schemeClr val="tx1"/>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Graph. 13. L</a:t>
            </a:r>
            <a:r>
              <a:rPr lang="fr-FR" sz="1800"/>
              <a:t>e</a:t>
            </a:r>
            <a:r>
              <a:rPr lang="fr-FR" sz="1800" baseline="0"/>
              <a:t>s européennes 1999 et le clivage territorial</a:t>
            </a:r>
            <a:endParaRPr lang="fr-FR" sz="1800"/>
          </a:p>
        </c:rich>
      </c:tx>
      <c:layout>
        <c:manualLayout>
          <c:xMode val="edge"/>
          <c:yMode val="edge"/>
          <c:x val="0.20481801634932748"/>
          <c:y val="2.258409349675531E-3"/>
        </c:manualLayout>
      </c:layout>
      <c:overlay val="0"/>
    </c:title>
    <c:autoTitleDeleted val="0"/>
    <c:plotArea>
      <c:layout>
        <c:manualLayout>
          <c:layoutTarget val="inner"/>
          <c:xMode val="edge"/>
          <c:yMode val="edge"/>
          <c:x val="0.11489236400841887"/>
          <c:y val="5.7721210187661916E-2"/>
          <c:w val="0.872547409409551"/>
          <c:h val="0.71795898463114705"/>
        </c:manualLayout>
      </c:layout>
      <c:barChart>
        <c:barDir val="col"/>
        <c:grouping val="clustered"/>
        <c:varyColors val="0"/>
        <c:ser>
          <c:idx val="0"/>
          <c:order val="0"/>
          <c:tx>
            <c:v>Villages</c:v>
          </c:tx>
          <c:spPr>
            <a:solidFill>
              <a:srgbClr val="00B050"/>
            </a:solidFill>
            <a:ln>
              <a:solidFill>
                <a:srgbClr val="00B050"/>
              </a:solidFill>
            </a:ln>
          </c:spPr>
          <c:invertIfNegative val="0"/>
          <c:cat>
            <c:strRef>
              <c:extLst>
                <c:ext xmlns:c15="http://schemas.microsoft.com/office/drawing/2012/chart" uri="{02D57815-91ED-43cb-92C2-25804820EDAC}">
                  <c15:fullRef>
                    <c15:sqref>(DataB1!$A$50:$A$52,DataB1!$A$53:$A$55,DataB1!$A$56:$A$60)</c15:sqref>
                  </c15:fullRef>
                </c:ext>
              </c:extLst>
              <c:f>(DataB1!$A$50:$A$52,DataB1!$A$53,DataB1!$A$55,DataB1!$A$56:$A$59)</c:f>
              <c:strCache>
                <c:ptCount val="9"/>
                <c:pt idx="0">
                  <c:v>LO</c:v>
                </c:pt>
                <c:pt idx="1">
                  <c:v>PCF</c:v>
                </c:pt>
                <c:pt idx="2">
                  <c:v>PS</c:v>
                </c:pt>
                <c:pt idx="3">
                  <c:v>Verts</c:v>
                </c:pt>
                <c:pt idx="4">
                  <c:v>UDF</c:v>
                </c:pt>
                <c:pt idx="5">
                  <c:v>RPR</c:v>
                </c:pt>
                <c:pt idx="6">
                  <c:v>DVD</c:v>
                </c:pt>
                <c:pt idx="7">
                  <c:v>FN</c:v>
                </c:pt>
                <c:pt idx="8">
                  <c:v>MNR</c:v>
                </c:pt>
              </c:strCache>
            </c:strRef>
          </c:cat>
          <c:val>
            <c:numRef>
              <c:extLst>
                <c:ext xmlns:c15="http://schemas.microsoft.com/office/drawing/2012/chart" uri="{02D57815-91ED-43cb-92C2-25804820EDAC}">
                  <c15:fullRef>
                    <c15:sqref>(DataB1!$B$50:$B$52,DataB1!$B$53:$B$55,DataB1!$B$56:$B$60)</c15:sqref>
                  </c15:fullRef>
                </c:ext>
              </c:extLst>
              <c:f>(DataB1!$B$50:$B$52,DataB1!$B$53,DataB1!$B$55,DataB1!$B$56:$B$59)</c:f>
              <c:numCache>
                <c:formatCode>0%</c:formatCode>
                <c:ptCount val="9"/>
                <c:pt idx="0">
                  <c:v>0.9071088356968513</c:v>
                </c:pt>
                <c:pt idx="1">
                  <c:v>0.85515615786199251</c:v>
                </c:pt>
                <c:pt idx="2">
                  <c:v>0.92404058365297614</c:v>
                </c:pt>
                <c:pt idx="3">
                  <c:v>0.82247224814381814</c:v>
                </c:pt>
                <c:pt idx="4">
                  <c:v>0.96030797144791458</c:v>
                </c:pt>
                <c:pt idx="5">
                  <c:v>1.0392530603891406</c:v>
                </c:pt>
                <c:pt idx="6">
                  <c:v>1.0488106099493002</c:v>
                </c:pt>
                <c:pt idx="7">
                  <c:v>0.9264169031397218</c:v>
                </c:pt>
                <c:pt idx="8">
                  <c:v>0.76839078840729158</c:v>
                </c:pt>
              </c:numCache>
            </c:numRef>
          </c:val>
          <c:extLst/>
        </c:ser>
        <c:ser>
          <c:idx val="1"/>
          <c:order val="1"/>
          <c:tx>
            <c:v>Bourgs</c:v>
          </c:tx>
          <c:spPr>
            <a:solidFill>
              <a:srgbClr val="00B0F0"/>
            </a:solidFill>
            <a:ln>
              <a:solidFill>
                <a:srgbClr val="00B0F0"/>
              </a:solidFill>
            </a:ln>
          </c:spPr>
          <c:invertIfNegative val="0"/>
          <c:cat>
            <c:strRef>
              <c:extLst>
                <c:ext xmlns:c15="http://schemas.microsoft.com/office/drawing/2012/chart" uri="{02D57815-91ED-43cb-92C2-25804820EDAC}">
                  <c15:fullRef>
                    <c15:sqref>(DataB1!$A$50:$A$52,DataB1!$A$53:$A$55,DataB1!$A$56:$A$60)</c15:sqref>
                  </c15:fullRef>
                </c:ext>
              </c:extLst>
              <c:f>(DataB1!$A$50:$A$52,DataB1!$A$53,DataB1!$A$55,DataB1!$A$56:$A$59)</c:f>
              <c:strCache>
                <c:ptCount val="9"/>
                <c:pt idx="0">
                  <c:v>LO</c:v>
                </c:pt>
                <c:pt idx="1">
                  <c:v>PCF</c:v>
                </c:pt>
                <c:pt idx="2">
                  <c:v>PS</c:v>
                </c:pt>
                <c:pt idx="3">
                  <c:v>Verts</c:v>
                </c:pt>
                <c:pt idx="4">
                  <c:v>UDF</c:v>
                </c:pt>
                <c:pt idx="5">
                  <c:v>RPR</c:v>
                </c:pt>
                <c:pt idx="6">
                  <c:v>DVD</c:v>
                </c:pt>
                <c:pt idx="7">
                  <c:v>FN</c:v>
                </c:pt>
                <c:pt idx="8">
                  <c:v>MNR</c:v>
                </c:pt>
              </c:strCache>
            </c:strRef>
          </c:cat>
          <c:val>
            <c:numRef>
              <c:extLst>
                <c:ext xmlns:c15="http://schemas.microsoft.com/office/drawing/2012/chart" uri="{02D57815-91ED-43cb-92C2-25804820EDAC}">
                  <c15:fullRef>
                    <c15:sqref>(DataB1!$C$50:$C$52,DataB1!$C$53:$C$55,DataB1!$C$56:$C$60)</c15:sqref>
                  </c15:fullRef>
                </c:ext>
              </c:extLst>
              <c:f>(DataB1!$C$50:$C$52,DataB1!$C$53,DataB1!$C$55,DataB1!$C$56:$C$59)</c:f>
              <c:numCache>
                <c:formatCode>0%</c:formatCode>
                <c:ptCount val="9"/>
                <c:pt idx="0">
                  <c:v>0.9821630324508106</c:v>
                </c:pt>
                <c:pt idx="1">
                  <c:v>0.98211225621466636</c:v>
                </c:pt>
                <c:pt idx="2">
                  <c:v>1.0323185062983344</c:v>
                </c:pt>
                <c:pt idx="3">
                  <c:v>0.9078054052966622</c:v>
                </c:pt>
                <c:pt idx="4">
                  <c:v>0.98615209953786176</c:v>
                </c:pt>
                <c:pt idx="5">
                  <c:v>0.99282974146137148</c:v>
                </c:pt>
                <c:pt idx="6">
                  <c:v>1.0005720850464905</c:v>
                </c:pt>
                <c:pt idx="7">
                  <c:v>0.99166301418165226</c:v>
                </c:pt>
                <c:pt idx="8">
                  <c:v>0.9468832707634639</c:v>
                </c:pt>
              </c:numCache>
            </c:numRef>
          </c:val>
        </c:ser>
        <c:ser>
          <c:idx val="3"/>
          <c:order val="2"/>
          <c:tx>
            <c:v>Banlieues</c:v>
          </c:tx>
          <c:spPr>
            <a:solidFill>
              <a:srgbClr val="FF0000"/>
            </a:solidFill>
            <a:ln>
              <a:solidFill>
                <a:srgbClr val="FF0000"/>
              </a:solidFill>
            </a:ln>
          </c:spPr>
          <c:invertIfNegative val="0"/>
          <c:cat>
            <c:strRef>
              <c:extLst>
                <c:ext xmlns:c15="http://schemas.microsoft.com/office/drawing/2012/chart" uri="{02D57815-91ED-43cb-92C2-25804820EDAC}">
                  <c15:fullRef>
                    <c15:sqref>(DataB1!$A$50:$A$52,DataB1!$A$53:$A$55,DataB1!$A$56:$A$60)</c15:sqref>
                  </c15:fullRef>
                </c:ext>
              </c:extLst>
              <c:f>(DataB1!$A$50:$A$52,DataB1!$A$53,DataB1!$A$55,DataB1!$A$56:$A$59)</c:f>
              <c:strCache>
                <c:ptCount val="9"/>
                <c:pt idx="0">
                  <c:v>LO</c:v>
                </c:pt>
                <c:pt idx="1">
                  <c:v>PCF</c:v>
                </c:pt>
                <c:pt idx="2">
                  <c:v>PS</c:v>
                </c:pt>
                <c:pt idx="3">
                  <c:v>Verts</c:v>
                </c:pt>
                <c:pt idx="4">
                  <c:v>UDF</c:v>
                </c:pt>
                <c:pt idx="5">
                  <c:v>RPR</c:v>
                </c:pt>
                <c:pt idx="6">
                  <c:v>DVD</c:v>
                </c:pt>
                <c:pt idx="7">
                  <c:v>FN</c:v>
                </c:pt>
                <c:pt idx="8">
                  <c:v>MNR</c:v>
                </c:pt>
              </c:strCache>
            </c:strRef>
          </c:cat>
          <c:val>
            <c:numRef>
              <c:extLst>
                <c:ext xmlns:c15="http://schemas.microsoft.com/office/drawing/2012/chart" uri="{02D57815-91ED-43cb-92C2-25804820EDAC}">
                  <c15:fullRef>
                    <c15:sqref>(DataB1!$D$50:$D$52,DataB1!$D$53:$D$55,DataB1!$D$56:$D$60)</c15:sqref>
                  </c15:fullRef>
                </c:ext>
              </c:extLst>
              <c:f>(DataB1!$D$50:$D$52,DataB1!$D$53,DataB1!$D$55,DataB1!$D$56:$D$59)</c:f>
              <c:numCache>
                <c:formatCode>0%</c:formatCode>
                <c:ptCount val="9"/>
                <c:pt idx="0">
                  <c:v>1.0746024120158819</c:v>
                </c:pt>
                <c:pt idx="1">
                  <c:v>1.2056447293678487</c:v>
                </c:pt>
                <c:pt idx="2">
                  <c:v>1.0190208930924851</c:v>
                </c:pt>
                <c:pt idx="3">
                  <c:v>1.104692817276905</c:v>
                </c:pt>
                <c:pt idx="4">
                  <c:v>0.98044973284957648</c:v>
                </c:pt>
                <c:pt idx="5">
                  <c:v>0.939032455355443</c:v>
                </c:pt>
                <c:pt idx="6">
                  <c:v>0.97381687707731845</c:v>
                </c:pt>
                <c:pt idx="7">
                  <c:v>1.0727927750437716</c:v>
                </c:pt>
                <c:pt idx="8">
                  <c:v>1.1940783452058767</c:v>
                </c:pt>
              </c:numCache>
            </c:numRef>
          </c:val>
        </c:ser>
        <c:ser>
          <c:idx val="4"/>
          <c:order val="3"/>
          <c:tx>
            <c:v>Métropoles</c:v>
          </c:tx>
          <c:spPr>
            <a:solidFill>
              <a:srgbClr val="FFC000"/>
            </a:solidFill>
            <a:ln>
              <a:solidFill>
                <a:srgbClr val="FFC000"/>
              </a:solidFill>
            </a:ln>
          </c:spPr>
          <c:invertIfNegative val="0"/>
          <c:cat>
            <c:strRef>
              <c:extLst>
                <c:ext xmlns:c15="http://schemas.microsoft.com/office/drawing/2012/chart" uri="{02D57815-91ED-43cb-92C2-25804820EDAC}">
                  <c15:fullRef>
                    <c15:sqref>(DataB1!$A$50:$A$52,DataB1!$A$53:$A$55,DataB1!$A$56:$A$60)</c15:sqref>
                  </c15:fullRef>
                </c:ext>
              </c:extLst>
              <c:f>(DataB1!$A$50:$A$52,DataB1!$A$53,DataB1!$A$55,DataB1!$A$56:$A$59)</c:f>
              <c:strCache>
                <c:ptCount val="9"/>
                <c:pt idx="0">
                  <c:v>LO</c:v>
                </c:pt>
                <c:pt idx="1">
                  <c:v>PCF</c:v>
                </c:pt>
                <c:pt idx="2">
                  <c:v>PS</c:v>
                </c:pt>
                <c:pt idx="3">
                  <c:v>Verts</c:v>
                </c:pt>
                <c:pt idx="4">
                  <c:v>UDF</c:v>
                </c:pt>
                <c:pt idx="5">
                  <c:v>RPR</c:v>
                </c:pt>
                <c:pt idx="6">
                  <c:v>DVD</c:v>
                </c:pt>
                <c:pt idx="7">
                  <c:v>FN</c:v>
                </c:pt>
                <c:pt idx="8">
                  <c:v>MNR</c:v>
                </c:pt>
              </c:strCache>
            </c:strRef>
          </c:cat>
          <c:val>
            <c:numRef>
              <c:extLst>
                <c:ext xmlns:c15="http://schemas.microsoft.com/office/drawing/2012/chart" uri="{02D57815-91ED-43cb-92C2-25804820EDAC}">
                  <c15:fullRef>
                    <c15:sqref>(DataB1!$E$50:$E$52,DataB1!$E$53:$E$55,DataB1!$E$56:$E$60)</c15:sqref>
                  </c15:fullRef>
                </c:ext>
              </c:extLst>
              <c:f>(DataB1!$E$50:$E$52,DataB1!$E$53,DataB1!$E$55,DataB1!$E$56:$E$59)</c:f>
              <c:numCache>
                <c:formatCode>0%</c:formatCode>
                <c:ptCount val="9"/>
                <c:pt idx="0">
                  <c:v>1.0593437307795128</c:v>
                </c:pt>
                <c:pt idx="1">
                  <c:v>0.87967783818875278</c:v>
                </c:pt>
                <c:pt idx="2">
                  <c:v>1.0201236787089623</c:v>
                </c:pt>
                <c:pt idx="3">
                  <c:v>1.3379435926768051</c:v>
                </c:pt>
                <c:pt idx="4">
                  <c:v>1.1491899163728325</c:v>
                </c:pt>
                <c:pt idx="5">
                  <c:v>1.0735749914328143</c:v>
                </c:pt>
                <c:pt idx="6">
                  <c:v>0.96331913921209833</c:v>
                </c:pt>
                <c:pt idx="7">
                  <c:v>1.0037303241516806</c:v>
                </c:pt>
                <c:pt idx="8">
                  <c:v>1.1524971511619881</c:v>
                </c:pt>
              </c:numCache>
            </c:numRef>
          </c:val>
        </c:ser>
        <c:dLbls>
          <c:showLegendKey val="0"/>
          <c:showVal val="0"/>
          <c:showCatName val="0"/>
          <c:showSerName val="0"/>
          <c:showPercent val="0"/>
          <c:showBubbleSize val="0"/>
        </c:dLbls>
        <c:gapWidth val="50"/>
        <c:axId val="634620192"/>
        <c:axId val="634625680"/>
        <c:extLst>
          <c:ext xmlns:c15="http://schemas.microsoft.com/office/drawing/2012/chart" uri="{02D57815-91ED-43cb-92C2-25804820EDAC}">
            <c15:filteredBarSeries>
              <c15:ser>
                <c:idx val="2"/>
                <c:order val="4"/>
                <c:tx>
                  <c:v>Total</c:v>
                </c:tx>
                <c:spPr>
                  <a:solidFill>
                    <a:schemeClr val="tx1"/>
                  </a:solidFill>
                  <a:ln>
                    <a:solidFill>
                      <a:schemeClr val="tx1"/>
                    </a:solidFill>
                  </a:ln>
                </c:spPr>
                <c:invertIfNegative val="0"/>
                <c:cat>
                  <c:strRef>
                    <c:extLst>
                      <c:ext uri="{02D57815-91ED-43cb-92C2-25804820EDAC}">
                        <c15:fullRef>
                          <c15:sqref>(DataB1!$A$50:$A$52,DataB1!$A$53:$A$55,DataB1!$A$56:$A$60)</c15:sqref>
                        </c15:fullRef>
                        <c15:formulaRef>
                          <c15:sqref>(DataB1!$A$50:$A$52,DataB1!$A$53,DataB1!$A$55,DataB1!$A$56:$A$59)</c15:sqref>
                        </c15:formulaRef>
                      </c:ext>
                    </c:extLst>
                    <c:strCache>
                      <c:ptCount val="9"/>
                      <c:pt idx="0">
                        <c:v>LO</c:v>
                      </c:pt>
                      <c:pt idx="1">
                        <c:v>PCF</c:v>
                      </c:pt>
                      <c:pt idx="2">
                        <c:v>PS</c:v>
                      </c:pt>
                      <c:pt idx="3">
                        <c:v>Verts</c:v>
                      </c:pt>
                      <c:pt idx="4">
                        <c:v>UDF</c:v>
                      </c:pt>
                      <c:pt idx="5">
                        <c:v>RPR</c:v>
                      </c:pt>
                      <c:pt idx="6">
                        <c:v>DVD</c:v>
                      </c:pt>
                      <c:pt idx="7">
                        <c:v>FN</c:v>
                      </c:pt>
                      <c:pt idx="8">
                        <c:v>MNR</c:v>
                      </c:pt>
                    </c:strCache>
                  </c:strRef>
                </c:cat>
                <c:val>
                  <c:numRef>
                    <c:extLst>
                      <c:ext uri="{02D57815-91ED-43cb-92C2-25804820EDAC}">
                        <c15:fullRef>
                          <c15:sqref>(DataB1!$F$50:$F$52,DataB1!$F$53:$F$55,DataB1!$F$56:$F$60)</c15:sqref>
                        </c15:fullRef>
                        <c15:formulaRef>
                          <c15:sqref>(DataB1!$F$50:$F$52,DataB1!$F$53,DataB1!$F$55,DataB1!$F$56:$F$59)</c15:sqref>
                        </c15:formulaRef>
                      </c:ext>
                    </c:extLst>
                    <c:numCache>
                      <c:formatCode>0%</c:formatCode>
                      <c:ptCount val="9"/>
                      <c:pt idx="0">
                        <c:v>1</c:v>
                      </c:pt>
                      <c:pt idx="1">
                        <c:v>1</c:v>
                      </c:pt>
                      <c:pt idx="2">
                        <c:v>1</c:v>
                      </c:pt>
                      <c:pt idx="3">
                        <c:v>1</c:v>
                      </c:pt>
                      <c:pt idx="4">
                        <c:v>1</c:v>
                      </c:pt>
                      <c:pt idx="5">
                        <c:v>1</c:v>
                      </c:pt>
                      <c:pt idx="6">
                        <c:v>1</c:v>
                      </c:pt>
                      <c:pt idx="7">
                        <c:v>1</c:v>
                      </c:pt>
                      <c:pt idx="8">
                        <c:v>1</c:v>
                      </c:pt>
                    </c:numCache>
                  </c:numRef>
                </c:val>
              </c15:ser>
            </c15:filteredBarSeries>
          </c:ext>
        </c:extLst>
      </c:barChart>
      <c:catAx>
        <c:axId val="634620192"/>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4625680"/>
        <c:crosses val="autoZero"/>
        <c:auto val="1"/>
        <c:lblAlgn val="ctr"/>
        <c:lblOffset val="100"/>
        <c:tickLblSkip val="1"/>
        <c:noMultiLvlLbl val="0"/>
      </c:catAx>
      <c:valAx>
        <c:axId val="634625680"/>
        <c:scaling>
          <c:orientation val="minMax"/>
          <c:max val="1.5"/>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voix pour les différents candidats </a:t>
                </a:r>
              </a:p>
              <a:p>
                <a:pPr>
                  <a:defRPr sz="1200" b="0">
                    <a:latin typeface="Arial Narrow" panose="020B0606020202030204" pitchFamily="34" charset="0"/>
                    <a:cs typeface="Arial" panose="020B0604020202020204" pitchFamily="34" charset="0"/>
                  </a:defRPr>
                </a:pPr>
                <a:r>
                  <a:rPr lang="fr-FR" sz="1200" b="0" baseline="0">
                    <a:latin typeface="Arial" panose="020B0604020202020204" pitchFamily="34" charset="0"/>
                    <a:cs typeface="Arial" panose="020B0604020202020204" pitchFamily="34" charset="0"/>
                  </a:rPr>
                  <a:t>(% moyenne nationale)</a:t>
                </a:r>
                <a:endParaRPr lang="fr-FR" sz="1200" b="0">
                  <a:latin typeface="Arial" panose="020B0604020202020204" pitchFamily="34" charset="0"/>
                  <a:cs typeface="Arial" panose="020B0604020202020204" pitchFamily="34" charset="0"/>
                </a:endParaRPr>
              </a:p>
            </c:rich>
          </c:tx>
          <c:layout>
            <c:manualLayout>
              <c:xMode val="edge"/>
              <c:yMode val="edge"/>
              <c:x val="1.3786389814930632E-3"/>
              <c:y val="7.7704149989196392E-2"/>
            </c:manualLayout>
          </c:layout>
          <c:overlay val="0"/>
        </c:title>
        <c:numFmt formatCode="0%" sourceLinked="0"/>
        <c:majorTickMark val="out"/>
        <c:minorTickMark val="none"/>
        <c:tickLblPos val="nextTo"/>
        <c:txPr>
          <a:bodyPr/>
          <a:lstStyle/>
          <a:p>
            <a:pPr>
              <a:defRPr sz="1400" b="0" i="0">
                <a:latin typeface="Arial"/>
              </a:defRPr>
            </a:pPr>
            <a:endParaRPr lang="fr-FR"/>
          </a:p>
        </c:txPr>
        <c:crossAx val="634620192"/>
        <c:crosses val="autoZero"/>
        <c:crossBetween val="between"/>
        <c:majorUnit val="0.1"/>
      </c:valAx>
      <c:spPr>
        <a:noFill/>
        <a:ln w="28575">
          <a:solidFill>
            <a:schemeClr val="tx1"/>
          </a:solidFill>
        </a:ln>
      </c:spPr>
    </c:plotArea>
    <c:legend>
      <c:legendPos val="t"/>
      <c:layout>
        <c:manualLayout>
          <c:xMode val="edge"/>
          <c:yMode val="edge"/>
          <c:x val="0.25416752736082826"/>
          <c:y val="6.7496052645900445E-2"/>
          <c:w val="0.58718042921590829"/>
          <c:h val="5.9859473273938132E-2"/>
        </c:manualLayout>
      </c:layout>
      <c:overlay val="0"/>
      <c:spPr>
        <a:solidFill>
          <a:sysClr val="window" lastClr="FFFFFF"/>
        </a:solidFill>
        <a:ln w="15875">
          <a:solidFill>
            <a:schemeClr val="tx1"/>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Graph. 14. L</a:t>
            </a:r>
            <a:r>
              <a:rPr lang="fr-FR" sz="1800"/>
              <a:t>e</a:t>
            </a:r>
            <a:r>
              <a:rPr lang="fr-FR" sz="1800" baseline="0"/>
              <a:t>s européennes 2004 et le clivage territorial</a:t>
            </a:r>
            <a:endParaRPr lang="fr-FR" sz="1800"/>
          </a:p>
        </c:rich>
      </c:tx>
      <c:layout>
        <c:manualLayout>
          <c:xMode val="edge"/>
          <c:yMode val="edge"/>
          <c:x val="0.21725117182218387"/>
          <c:y val="2.258409349675531E-3"/>
        </c:manualLayout>
      </c:layout>
      <c:overlay val="0"/>
    </c:title>
    <c:autoTitleDeleted val="0"/>
    <c:plotArea>
      <c:layout>
        <c:manualLayout>
          <c:layoutTarget val="inner"/>
          <c:xMode val="edge"/>
          <c:yMode val="edge"/>
          <c:x val="0.11627382572762514"/>
          <c:y val="5.7721210187661916E-2"/>
          <c:w val="0.872547409409551"/>
          <c:h val="0.71795898463114705"/>
        </c:manualLayout>
      </c:layout>
      <c:barChart>
        <c:barDir val="col"/>
        <c:grouping val="clustered"/>
        <c:varyColors val="0"/>
        <c:ser>
          <c:idx val="0"/>
          <c:order val="0"/>
          <c:tx>
            <c:v>Villages</c:v>
          </c:tx>
          <c:spPr>
            <a:solidFill>
              <a:srgbClr val="00B050"/>
            </a:solidFill>
            <a:ln>
              <a:solidFill>
                <a:srgbClr val="00B050"/>
              </a:solidFill>
            </a:ln>
          </c:spPr>
          <c:invertIfNegative val="0"/>
          <c:cat>
            <c:strRef>
              <c:extLst>
                <c:ext xmlns:c15="http://schemas.microsoft.com/office/drawing/2012/chart" uri="{02D57815-91ED-43cb-92C2-25804820EDAC}">
                  <c15:fullRef>
                    <c15:sqref>(DataB1!$A$78:$A$80,DataB1!$A$81:$A$83,DataB1!$A$84:$A$88)</c15:sqref>
                  </c15:fullRef>
                </c:ext>
              </c:extLst>
              <c:f>(DataB1!$A$78:$A$80,DataB1!$A$81:$A$83,DataB1!$A$84:$A$85)</c:f>
              <c:strCache>
                <c:ptCount val="8"/>
                <c:pt idx="0">
                  <c:v>LO</c:v>
                </c:pt>
                <c:pt idx="1">
                  <c:v>PCF</c:v>
                </c:pt>
                <c:pt idx="2">
                  <c:v>PS</c:v>
                </c:pt>
                <c:pt idx="3">
                  <c:v>Verts</c:v>
                </c:pt>
                <c:pt idx="4">
                  <c:v>UDF</c:v>
                </c:pt>
                <c:pt idx="5">
                  <c:v>UMP</c:v>
                </c:pt>
                <c:pt idx="6">
                  <c:v>DVD</c:v>
                </c:pt>
                <c:pt idx="7">
                  <c:v>FN</c:v>
                </c:pt>
              </c:strCache>
            </c:strRef>
          </c:cat>
          <c:val>
            <c:numRef>
              <c:extLst>
                <c:ext xmlns:c15="http://schemas.microsoft.com/office/drawing/2012/chart" uri="{02D57815-91ED-43cb-92C2-25804820EDAC}">
                  <c15:fullRef>
                    <c15:sqref>(DataB1!$B$78:$B$80,DataB1!$B$81:$B$83,DataB1!$B$84:$B$88)</c15:sqref>
                  </c15:fullRef>
                </c:ext>
              </c:extLst>
              <c:f>(DataB1!$B$78:$B$80,DataB1!$B$81:$B$83,DataB1!$B$84:$B$85)</c:f>
              <c:numCache>
                <c:formatCode>0%</c:formatCode>
                <c:ptCount val="8"/>
                <c:pt idx="0">
                  <c:v>1.0216619237941562</c:v>
                </c:pt>
                <c:pt idx="1">
                  <c:v>0.85545140068322512</c:v>
                </c:pt>
                <c:pt idx="2">
                  <c:v>0.94407443833692406</c:v>
                </c:pt>
                <c:pt idx="3">
                  <c:v>0.88848767074908874</c:v>
                </c:pt>
                <c:pt idx="4">
                  <c:v>0.98756431214881957</c:v>
                </c:pt>
                <c:pt idx="5">
                  <c:v>1.0217919395368655</c:v>
                </c:pt>
                <c:pt idx="6">
                  <c:v>1.0826348628474791</c:v>
                </c:pt>
                <c:pt idx="7">
                  <c:v>1.076180451311888</c:v>
                </c:pt>
              </c:numCache>
            </c:numRef>
          </c:val>
          <c:extLst/>
        </c:ser>
        <c:ser>
          <c:idx val="1"/>
          <c:order val="1"/>
          <c:tx>
            <c:v>Bourgs</c:v>
          </c:tx>
          <c:spPr>
            <a:solidFill>
              <a:srgbClr val="00B0F0"/>
            </a:solidFill>
            <a:ln>
              <a:solidFill>
                <a:srgbClr val="00B0F0"/>
              </a:solidFill>
            </a:ln>
          </c:spPr>
          <c:invertIfNegative val="0"/>
          <c:cat>
            <c:strRef>
              <c:extLst>
                <c:ext xmlns:c15="http://schemas.microsoft.com/office/drawing/2012/chart" uri="{02D57815-91ED-43cb-92C2-25804820EDAC}">
                  <c15:fullRef>
                    <c15:sqref>(DataB1!$A$78:$A$80,DataB1!$A$81:$A$83,DataB1!$A$84:$A$88)</c15:sqref>
                  </c15:fullRef>
                </c:ext>
              </c:extLst>
              <c:f>(DataB1!$A$78:$A$80,DataB1!$A$81:$A$83,DataB1!$A$84:$A$85)</c:f>
              <c:strCache>
                <c:ptCount val="8"/>
                <c:pt idx="0">
                  <c:v>LO</c:v>
                </c:pt>
                <c:pt idx="1">
                  <c:v>PCF</c:v>
                </c:pt>
                <c:pt idx="2">
                  <c:v>PS</c:v>
                </c:pt>
                <c:pt idx="3">
                  <c:v>Verts</c:v>
                </c:pt>
                <c:pt idx="4">
                  <c:v>UDF</c:v>
                </c:pt>
                <c:pt idx="5">
                  <c:v>UMP</c:v>
                </c:pt>
                <c:pt idx="6">
                  <c:v>DVD</c:v>
                </c:pt>
                <c:pt idx="7">
                  <c:v>FN</c:v>
                </c:pt>
              </c:strCache>
            </c:strRef>
          </c:cat>
          <c:val>
            <c:numRef>
              <c:extLst>
                <c:ext xmlns:c15="http://schemas.microsoft.com/office/drawing/2012/chart" uri="{02D57815-91ED-43cb-92C2-25804820EDAC}">
                  <c15:fullRef>
                    <c15:sqref>(DataB1!$C$78:$C$80,DataB1!$C$81:$C$83,DataB1!$C$84:$C$88)</c15:sqref>
                  </c15:fullRef>
                </c:ext>
              </c:extLst>
              <c:f>(DataB1!$C$78:$C$80,DataB1!$C$81:$C$83,DataB1!$C$84:$C$85)</c:f>
              <c:numCache>
                <c:formatCode>0%</c:formatCode>
                <c:ptCount val="8"/>
                <c:pt idx="0">
                  <c:v>1.0195151149432162</c:v>
                </c:pt>
                <c:pt idx="1">
                  <c:v>0.99136079960668844</c:v>
                </c:pt>
                <c:pt idx="2">
                  <c:v>1.0274794508153755</c:v>
                </c:pt>
                <c:pt idx="3">
                  <c:v>0.91790260207106189</c:v>
                </c:pt>
                <c:pt idx="4">
                  <c:v>0.98082301514322734</c:v>
                </c:pt>
                <c:pt idx="5">
                  <c:v>0.97089464172176532</c:v>
                </c:pt>
                <c:pt idx="6">
                  <c:v>1.0723372512098994</c:v>
                </c:pt>
                <c:pt idx="7">
                  <c:v>1.0157308172743351</c:v>
                </c:pt>
              </c:numCache>
            </c:numRef>
          </c:val>
        </c:ser>
        <c:ser>
          <c:idx val="3"/>
          <c:order val="2"/>
          <c:tx>
            <c:v>Banlieues</c:v>
          </c:tx>
          <c:spPr>
            <a:solidFill>
              <a:srgbClr val="FF0000"/>
            </a:solidFill>
            <a:ln>
              <a:solidFill>
                <a:srgbClr val="FF0000"/>
              </a:solidFill>
            </a:ln>
          </c:spPr>
          <c:invertIfNegative val="0"/>
          <c:cat>
            <c:strRef>
              <c:extLst>
                <c:ext xmlns:c15="http://schemas.microsoft.com/office/drawing/2012/chart" uri="{02D57815-91ED-43cb-92C2-25804820EDAC}">
                  <c15:fullRef>
                    <c15:sqref>(DataB1!$A$78:$A$80,DataB1!$A$81:$A$83,DataB1!$A$84:$A$88)</c15:sqref>
                  </c15:fullRef>
                </c:ext>
              </c:extLst>
              <c:f>(DataB1!$A$78:$A$80,DataB1!$A$81:$A$83,DataB1!$A$84:$A$85)</c:f>
              <c:strCache>
                <c:ptCount val="8"/>
                <c:pt idx="0">
                  <c:v>LO</c:v>
                </c:pt>
                <c:pt idx="1">
                  <c:v>PCF</c:v>
                </c:pt>
                <c:pt idx="2">
                  <c:v>PS</c:v>
                </c:pt>
                <c:pt idx="3">
                  <c:v>Verts</c:v>
                </c:pt>
                <c:pt idx="4">
                  <c:v>UDF</c:v>
                </c:pt>
                <c:pt idx="5">
                  <c:v>UMP</c:v>
                </c:pt>
                <c:pt idx="6">
                  <c:v>DVD</c:v>
                </c:pt>
                <c:pt idx="7">
                  <c:v>FN</c:v>
                </c:pt>
              </c:strCache>
            </c:strRef>
          </c:cat>
          <c:val>
            <c:numRef>
              <c:extLst>
                <c:ext xmlns:c15="http://schemas.microsoft.com/office/drawing/2012/chart" uri="{02D57815-91ED-43cb-92C2-25804820EDAC}">
                  <c15:fullRef>
                    <c15:sqref>(DataB1!$D$78:$D$80,DataB1!$D$81:$D$83,DataB1!$D$84:$D$88)</c15:sqref>
                  </c15:fullRef>
                </c:ext>
              </c:extLst>
              <c:f>(DataB1!$D$78:$D$80,DataB1!$D$81:$D$83,DataB1!$D$84:$D$85)</c:f>
              <c:numCache>
                <c:formatCode>0%</c:formatCode>
                <c:ptCount val="8"/>
                <c:pt idx="0">
                  <c:v>1.0021964306838376</c:v>
                </c:pt>
                <c:pt idx="1">
                  <c:v>1.1938735268125338</c:v>
                </c:pt>
                <c:pt idx="2">
                  <c:v>0.9898862198456142</c:v>
                </c:pt>
                <c:pt idx="3">
                  <c:v>1.0187746679616059</c:v>
                </c:pt>
                <c:pt idx="4">
                  <c:v>1.009159698124332</c:v>
                </c:pt>
                <c:pt idx="5">
                  <c:v>0.96515882267937225</c:v>
                </c:pt>
                <c:pt idx="6">
                  <c:v>0.92672103154555485</c:v>
                </c:pt>
                <c:pt idx="7">
                  <c:v>1.0134401186556656</c:v>
                </c:pt>
              </c:numCache>
            </c:numRef>
          </c:val>
        </c:ser>
        <c:ser>
          <c:idx val="4"/>
          <c:order val="3"/>
          <c:tx>
            <c:v>Métropoles</c:v>
          </c:tx>
          <c:spPr>
            <a:solidFill>
              <a:srgbClr val="FFC000"/>
            </a:solidFill>
            <a:ln>
              <a:solidFill>
                <a:srgbClr val="FFC000"/>
              </a:solidFill>
            </a:ln>
          </c:spPr>
          <c:invertIfNegative val="0"/>
          <c:cat>
            <c:strRef>
              <c:extLst>
                <c:ext xmlns:c15="http://schemas.microsoft.com/office/drawing/2012/chart" uri="{02D57815-91ED-43cb-92C2-25804820EDAC}">
                  <c15:fullRef>
                    <c15:sqref>(DataB1!$A$78:$A$80,DataB1!$A$81:$A$83,DataB1!$A$84:$A$88)</c15:sqref>
                  </c15:fullRef>
                </c:ext>
              </c:extLst>
              <c:f>(DataB1!$A$78:$A$80,DataB1!$A$81:$A$83,DataB1!$A$84:$A$85)</c:f>
              <c:strCache>
                <c:ptCount val="8"/>
                <c:pt idx="0">
                  <c:v>LO</c:v>
                </c:pt>
                <c:pt idx="1">
                  <c:v>PCF</c:v>
                </c:pt>
                <c:pt idx="2">
                  <c:v>PS</c:v>
                </c:pt>
                <c:pt idx="3">
                  <c:v>Verts</c:v>
                </c:pt>
                <c:pt idx="4">
                  <c:v>UDF</c:v>
                </c:pt>
                <c:pt idx="5">
                  <c:v>UMP</c:v>
                </c:pt>
                <c:pt idx="6">
                  <c:v>DVD</c:v>
                </c:pt>
                <c:pt idx="7">
                  <c:v>FN</c:v>
                </c:pt>
              </c:strCache>
            </c:strRef>
          </c:cat>
          <c:val>
            <c:numRef>
              <c:extLst>
                <c:ext xmlns:c15="http://schemas.microsoft.com/office/drawing/2012/chart" uri="{02D57815-91ED-43cb-92C2-25804820EDAC}">
                  <c15:fullRef>
                    <c15:sqref>(DataB1!$E$78:$E$80,DataB1!$E$81:$E$83,DataB1!$E$84:$E$88)</c15:sqref>
                  </c15:fullRef>
                </c:ext>
              </c:extLst>
              <c:f>(DataB1!$E$78:$E$80,DataB1!$E$81:$E$83,DataB1!$E$84:$E$85)</c:f>
              <c:numCache>
                <c:formatCode>0%</c:formatCode>
                <c:ptCount val="8"/>
                <c:pt idx="0">
                  <c:v>0.91041547873327866</c:v>
                </c:pt>
                <c:pt idx="1">
                  <c:v>0.87550384084247035</c:v>
                </c:pt>
                <c:pt idx="2">
                  <c:v>1.0508132719379286</c:v>
                </c:pt>
                <c:pt idx="3">
                  <c:v>1.3549677988976199</c:v>
                </c:pt>
                <c:pt idx="4">
                  <c:v>1.0495379476273268</c:v>
                </c:pt>
                <c:pt idx="5">
                  <c:v>1.1042707132417955</c:v>
                </c:pt>
                <c:pt idx="6">
                  <c:v>0.83032026760713307</c:v>
                </c:pt>
                <c:pt idx="7">
                  <c:v>0.80204791785340246</c:v>
                </c:pt>
              </c:numCache>
            </c:numRef>
          </c:val>
        </c:ser>
        <c:dLbls>
          <c:showLegendKey val="0"/>
          <c:showVal val="0"/>
          <c:showCatName val="0"/>
          <c:showSerName val="0"/>
          <c:showPercent val="0"/>
          <c:showBubbleSize val="0"/>
        </c:dLbls>
        <c:gapWidth val="50"/>
        <c:axId val="634631168"/>
        <c:axId val="634642536"/>
        <c:extLst>
          <c:ext xmlns:c15="http://schemas.microsoft.com/office/drawing/2012/chart" uri="{02D57815-91ED-43cb-92C2-25804820EDAC}">
            <c15:filteredBarSeries>
              <c15:ser>
                <c:idx val="2"/>
                <c:order val="4"/>
                <c:tx>
                  <c:v>Total</c:v>
                </c:tx>
                <c:spPr>
                  <a:solidFill>
                    <a:schemeClr val="tx1"/>
                  </a:solidFill>
                  <a:ln>
                    <a:solidFill>
                      <a:schemeClr val="tx1"/>
                    </a:solidFill>
                  </a:ln>
                </c:spPr>
                <c:invertIfNegative val="0"/>
                <c:cat>
                  <c:strRef>
                    <c:extLst>
                      <c:ext uri="{02D57815-91ED-43cb-92C2-25804820EDAC}">
                        <c15:fullRef>
                          <c15:sqref>(DataB1!$A$78:$A$80,DataB1!$A$81:$A$83,DataB1!$A$84:$A$88)</c15:sqref>
                        </c15:fullRef>
                        <c15:formulaRef>
                          <c15:sqref>(DataB1!$A$78:$A$80,DataB1!$A$81:$A$83,DataB1!$A$84:$A$85)</c15:sqref>
                        </c15:formulaRef>
                      </c:ext>
                    </c:extLst>
                    <c:strCache>
                      <c:ptCount val="8"/>
                      <c:pt idx="0">
                        <c:v>LO</c:v>
                      </c:pt>
                      <c:pt idx="1">
                        <c:v>PCF</c:v>
                      </c:pt>
                      <c:pt idx="2">
                        <c:v>PS</c:v>
                      </c:pt>
                      <c:pt idx="3">
                        <c:v>Verts</c:v>
                      </c:pt>
                      <c:pt idx="4">
                        <c:v>UDF</c:v>
                      </c:pt>
                      <c:pt idx="5">
                        <c:v>UMP</c:v>
                      </c:pt>
                      <c:pt idx="6">
                        <c:v>DVD</c:v>
                      </c:pt>
                      <c:pt idx="7">
                        <c:v>FN</c:v>
                      </c:pt>
                    </c:strCache>
                  </c:strRef>
                </c:cat>
                <c:val>
                  <c:numRef>
                    <c:extLst>
                      <c:ext uri="{02D57815-91ED-43cb-92C2-25804820EDAC}">
                        <c15:fullRef>
                          <c15:sqref>(DataB1!$F$78:$F$80,DataB1!$F$81:$F$83,DataB1!$F$84:$F$88)</c15:sqref>
                        </c15:fullRef>
                        <c15:formulaRef>
                          <c15:sqref>(DataB1!$F$78:$F$80,DataB1!$F$81:$F$83,DataB1!$F$84:$F$85)</c15:sqref>
                        </c15:formulaRef>
                      </c:ext>
                    </c:extLst>
                    <c:numCache>
                      <c:formatCode>0%</c:formatCode>
                      <c:ptCount val="8"/>
                      <c:pt idx="0">
                        <c:v>1</c:v>
                      </c:pt>
                      <c:pt idx="1">
                        <c:v>1</c:v>
                      </c:pt>
                      <c:pt idx="2">
                        <c:v>1</c:v>
                      </c:pt>
                      <c:pt idx="3">
                        <c:v>1</c:v>
                      </c:pt>
                      <c:pt idx="4">
                        <c:v>1</c:v>
                      </c:pt>
                      <c:pt idx="5">
                        <c:v>1</c:v>
                      </c:pt>
                      <c:pt idx="6">
                        <c:v>1</c:v>
                      </c:pt>
                      <c:pt idx="7">
                        <c:v>1</c:v>
                      </c:pt>
                    </c:numCache>
                  </c:numRef>
                </c:val>
              </c15:ser>
            </c15:filteredBarSeries>
          </c:ext>
        </c:extLst>
      </c:barChart>
      <c:catAx>
        <c:axId val="634631168"/>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4642536"/>
        <c:crosses val="autoZero"/>
        <c:auto val="1"/>
        <c:lblAlgn val="ctr"/>
        <c:lblOffset val="100"/>
        <c:tickLblSkip val="1"/>
        <c:noMultiLvlLbl val="0"/>
      </c:catAx>
      <c:valAx>
        <c:axId val="634642536"/>
        <c:scaling>
          <c:orientation val="minMax"/>
          <c:max val="1.6"/>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voix pour les différents candidats </a:t>
                </a:r>
              </a:p>
              <a:p>
                <a:pPr>
                  <a:defRPr sz="1200" b="0">
                    <a:latin typeface="Arial Narrow" panose="020B0606020202030204" pitchFamily="34" charset="0"/>
                    <a:cs typeface="Arial" panose="020B0604020202020204" pitchFamily="34" charset="0"/>
                  </a:defRPr>
                </a:pPr>
                <a:r>
                  <a:rPr lang="fr-FR" sz="1200" b="0" baseline="0">
                    <a:latin typeface="Arial" panose="020B0604020202020204" pitchFamily="34" charset="0"/>
                    <a:cs typeface="Arial" panose="020B0604020202020204" pitchFamily="34" charset="0"/>
                  </a:rPr>
                  <a:t>(% moyenne nationale)</a:t>
                </a:r>
                <a:endParaRPr lang="fr-FR" sz="1200" b="0">
                  <a:latin typeface="Arial" panose="020B0604020202020204" pitchFamily="34" charset="0"/>
                  <a:cs typeface="Arial" panose="020B0604020202020204" pitchFamily="34" charset="0"/>
                </a:endParaRPr>
              </a:p>
            </c:rich>
          </c:tx>
          <c:layout>
            <c:manualLayout>
              <c:xMode val="edge"/>
              <c:yMode val="edge"/>
              <c:x val="1.3786389814930632E-3"/>
              <c:y val="7.7704149989196392E-2"/>
            </c:manualLayout>
          </c:layout>
          <c:overlay val="0"/>
        </c:title>
        <c:numFmt formatCode="0%" sourceLinked="0"/>
        <c:majorTickMark val="out"/>
        <c:minorTickMark val="none"/>
        <c:tickLblPos val="nextTo"/>
        <c:txPr>
          <a:bodyPr/>
          <a:lstStyle/>
          <a:p>
            <a:pPr>
              <a:defRPr sz="1400" b="0" i="0">
                <a:latin typeface="Arial"/>
              </a:defRPr>
            </a:pPr>
            <a:endParaRPr lang="fr-FR"/>
          </a:p>
        </c:txPr>
        <c:crossAx val="634631168"/>
        <c:crosses val="autoZero"/>
        <c:crossBetween val="between"/>
        <c:majorUnit val="0.1"/>
      </c:valAx>
      <c:spPr>
        <a:noFill/>
        <a:ln w="28575">
          <a:solidFill>
            <a:schemeClr val="tx1"/>
          </a:solidFill>
        </a:ln>
      </c:spPr>
    </c:plotArea>
    <c:legend>
      <c:legendPos val="t"/>
      <c:layout>
        <c:manualLayout>
          <c:xMode val="edge"/>
          <c:yMode val="edge"/>
          <c:x val="0.21686806094225911"/>
          <c:y val="6.9762134556375213E-2"/>
          <c:w val="0.58718042921590829"/>
          <c:h val="5.9859473273938132E-2"/>
        </c:manualLayout>
      </c:layout>
      <c:overlay val="0"/>
      <c:spPr>
        <a:solidFill>
          <a:sysClr val="window" lastClr="FFFFFF"/>
        </a:solidFill>
        <a:ln w="15875">
          <a:solidFill>
            <a:schemeClr val="tx1"/>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Graph. 15. L</a:t>
            </a:r>
            <a:r>
              <a:rPr lang="fr-FR" sz="1800"/>
              <a:t>e</a:t>
            </a:r>
            <a:r>
              <a:rPr lang="fr-FR" sz="1800" baseline="0"/>
              <a:t>s européennes 2009 et le clivage territorial</a:t>
            </a:r>
            <a:endParaRPr lang="fr-FR" sz="1800"/>
          </a:p>
        </c:rich>
      </c:tx>
      <c:layout>
        <c:manualLayout>
          <c:xMode val="edge"/>
          <c:yMode val="edge"/>
          <c:x val="0.20896240150694634"/>
          <c:y val="2.258409349675531E-3"/>
        </c:manualLayout>
      </c:layout>
      <c:overlay val="0"/>
    </c:title>
    <c:autoTitleDeleted val="0"/>
    <c:plotArea>
      <c:layout>
        <c:manualLayout>
          <c:layoutTarget val="inner"/>
          <c:xMode val="edge"/>
          <c:yMode val="edge"/>
          <c:x val="0.11627382572762514"/>
          <c:y val="5.7721210187661916E-2"/>
          <c:w val="0.872547409409551"/>
          <c:h val="0.71795898463114705"/>
        </c:manualLayout>
      </c:layout>
      <c:barChart>
        <c:barDir val="col"/>
        <c:grouping val="clustered"/>
        <c:varyColors val="0"/>
        <c:ser>
          <c:idx val="0"/>
          <c:order val="0"/>
          <c:tx>
            <c:v>Villages</c:v>
          </c:tx>
          <c:spPr>
            <a:solidFill>
              <a:srgbClr val="00B050"/>
            </a:solidFill>
            <a:ln>
              <a:solidFill>
                <a:srgbClr val="00B050"/>
              </a:solidFill>
            </a:ln>
          </c:spPr>
          <c:invertIfNegative val="0"/>
          <c:cat>
            <c:strRef>
              <c:extLst>
                <c:ext xmlns:c15="http://schemas.microsoft.com/office/drawing/2012/chart" uri="{02D57815-91ED-43cb-92C2-25804820EDAC}">
                  <c15:fullRef>
                    <c15:sqref>(DataB1!$A$106:$A$108,DataB1!$A$109:$A$111,DataB1!$A$112:$A$116)</c15:sqref>
                  </c15:fullRef>
                </c:ext>
              </c:extLst>
              <c:f>(DataB1!$A$106:$A$108,DataB1!$A$110:$A$111,DataB1!$A$112:$A$114)</c:f>
              <c:strCache>
                <c:ptCount val="8"/>
                <c:pt idx="0">
                  <c:v>LO</c:v>
                </c:pt>
                <c:pt idx="1">
                  <c:v>FG</c:v>
                </c:pt>
                <c:pt idx="2">
                  <c:v>PS</c:v>
                </c:pt>
                <c:pt idx="3">
                  <c:v>EELV</c:v>
                </c:pt>
                <c:pt idx="4">
                  <c:v>MDM</c:v>
                </c:pt>
                <c:pt idx="5">
                  <c:v>UMP</c:v>
                </c:pt>
                <c:pt idx="6">
                  <c:v>DVD</c:v>
                </c:pt>
                <c:pt idx="7">
                  <c:v>FN</c:v>
                </c:pt>
              </c:strCache>
            </c:strRef>
          </c:cat>
          <c:val>
            <c:numRef>
              <c:extLst>
                <c:ext xmlns:c15="http://schemas.microsoft.com/office/drawing/2012/chart" uri="{02D57815-91ED-43cb-92C2-25804820EDAC}">
                  <c15:fullRef>
                    <c15:sqref>(DataB1!$B$106:$B$108,DataB1!$B$109:$B$111,DataB1!$B$112:$B$116)</c15:sqref>
                  </c15:fullRef>
                </c:ext>
              </c:extLst>
              <c:f>(DataB1!$B$106:$B$108,DataB1!$B$110:$B$111,DataB1!$B$112:$B$114)</c:f>
              <c:numCache>
                <c:formatCode>0%</c:formatCode>
                <c:ptCount val="8"/>
                <c:pt idx="0">
                  <c:v>1.1505112904803196</c:v>
                </c:pt>
                <c:pt idx="1">
                  <c:v>0.87452844699431975</c:v>
                </c:pt>
                <c:pt idx="2">
                  <c:v>0.95766575188933356</c:v>
                </c:pt>
                <c:pt idx="3">
                  <c:v>0.85665119697479419</c:v>
                </c:pt>
                <c:pt idx="4">
                  <c:v>1.0321286319547023</c:v>
                </c:pt>
                <c:pt idx="5">
                  <c:v>1.0022713501125338</c:v>
                </c:pt>
                <c:pt idx="6">
                  <c:v>1.2719702147152481</c:v>
                </c:pt>
                <c:pt idx="7">
                  <c:v>1.1177046192561675</c:v>
                </c:pt>
              </c:numCache>
            </c:numRef>
          </c:val>
          <c:extLst/>
        </c:ser>
        <c:ser>
          <c:idx val="1"/>
          <c:order val="1"/>
          <c:tx>
            <c:v>Bourgs</c:v>
          </c:tx>
          <c:spPr>
            <a:solidFill>
              <a:srgbClr val="00B0F0"/>
            </a:solidFill>
            <a:ln>
              <a:solidFill>
                <a:srgbClr val="00B0F0"/>
              </a:solidFill>
            </a:ln>
          </c:spPr>
          <c:invertIfNegative val="0"/>
          <c:cat>
            <c:strRef>
              <c:extLst>
                <c:ext xmlns:c15="http://schemas.microsoft.com/office/drawing/2012/chart" uri="{02D57815-91ED-43cb-92C2-25804820EDAC}">
                  <c15:fullRef>
                    <c15:sqref>(DataB1!$A$106:$A$108,DataB1!$A$109:$A$111,DataB1!$A$112:$A$116)</c15:sqref>
                  </c15:fullRef>
                </c:ext>
              </c:extLst>
              <c:f>(DataB1!$A$106:$A$108,DataB1!$A$110:$A$111,DataB1!$A$112:$A$114)</c:f>
              <c:strCache>
                <c:ptCount val="8"/>
                <c:pt idx="0">
                  <c:v>LO</c:v>
                </c:pt>
                <c:pt idx="1">
                  <c:v>FG</c:v>
                </c:pt>
                <c:pt idx="2">
                  <c:v>PS</c:v>
                </c:pt>
                <c:pt idx="3">
                  <c:v>EELV</c:v>
                </c:pt>
                <c:pt idx="4">
                  <c:v>MDM</c:v>
                </c:pt>
                <c:pt idx="5">
                  <c:v>UMP</c:v>
                </c:pt>
                <c:pt idx="6">
                  <c:v>DVD</c:v>
                </c:pt>
                <c:pt idx="7">
                  <c:v>FN</c:v>
                </c:pt>
              </c:strCache>
            </c:strRef>
          </c:cat>
          <c:val>
            <c:numRef>
              <c:extLst>
                <c:ext xmlns:c15="http://schemas.microsoft.com/office/drawing/2012/chart" uri="{02D57815-91ED-43cb-92C2-25804820EDAC}">
                  <c15:fullRef>
                    <c15:sqref>(DataB1!$C$106:$C$108,DataB1!$C$109:$C$111,DataB1!$C$112:$C$116)</c15:sqref>
                  </c15:fullRef>
                </c:ext>
              </c:extLst>
              <c:f>(DataB1!$C$106:$C$108,DataB1!$C$110:$C$111,DataB1!$C$112:$C$114)</c:f>
              <c:numCache>
                <c:formatCode>0%</c:formatCode>
                <c:ptCount val="8"/>
                <c:pt idx="0">
                  <c:v>1.0670508085239057</c:v>
                </c:pt>
                <c:pt idx="1">
                  <c:v>0.99777583429714045</c:v>
                </c:pt>
                <c:pt idx="2">
                  <c:v>1.0442993398886535</c:v>
                </c:pt>
                <c:pt idx="3">
                  <c:v>0.89983436946828466</c:v>
                </c:pt>
                <c:pt idx="4">
                  <c:v>0.98436011854102401</c:v>
                </c:pt>
                <c:pt idx="5">
                  <c:v>1.0013789230365748</c:v>
                </c:pt>
                <c:pt idx="6">
                  <c:v>1.0792084246210327</c:v>
                </c:pt>
                <c:pt idx="7">
                  <c:v>1.0183854149181331</c:v>
                </c:pt>
              </c:numCache>
            </c:numRef>
          </c:val>
        </c:ser>
        <c:ser>
          <c:idx val="3"/>
          <c:order val="2"/>
          <c:tx>
            <c:v>Banlieues</c:v>
          </c:tx>
          <c:spPr>
            <a:solidFill>
              <a:srgbClr val="FF0000"/>
            </a:solidFill>
            <a:ln>
              <a:solidFill>
                <a:srgbClr val="FF0000"/>
              </a:solidFill>
            </a:ln>
          </c:spPr>
          <c:invertIfNegative val="0"/>
          <c:cat>
            <c:strRef>
              <c:extLst>
                <c:ext xmlns:c15="http://schemas.microsoft.com/office/drawing/2012/chart" uri="{02D57815-91ED-43cb-92C2-25804820EDAC}">
                  <c15:fullRef>
                    <c15:sqref>(DataB1!$A$106:$A$108,DataB1!$A$109:$A$111,DataB1!$A$112:$A$116)</c15:sqref>
                  </c15:fullRef>
                </c:ext>
              </c:extLst>
              <c:f>(DataB1!$A$106:$A$108,DataB1!$A$110:$A$111,DataB1!$A$112:$A$114)</c:f>
              <c:strCache>
                <c:ptCount val="8"/>
                <c:pt idx="0">
                  <c:v>LO</c:v>
                </c:pt>
                <c:pt idx="1">
                  <c:v>FG</c:v>
                </c:pt>
                <c:pt idx="2">
                  <c:v>PS</c:v>
                </c:pt>
                <c:pt idx="3">
                  <c:v>EELV</c:v>
                </c:pt>
                <c:pt idx="4">
                  <c:v>MDM</c:v>
                </c:pt>
                <c:pt idx="5">
                  <c:v>UMP</c:v>
                </c:pt>
                <c:pt idx="6">
                  <c:v>DVD</c:v>
                </c:pt>
                <c:pt idx="7">
                  <c:v>FN</c:v>
                </c:pt>
              </c:strCache>
            </c:strRef>
          </c:cat>
          <c:val>
            <c:numRef>
              <c:extLst>
                <c:ext xmlns:c15="http://schemas.microsoft.com/office/drawing/2012/chart" uri="{02D57815-91ED-43cb-92C2-25804820EDAC}">
                  <c15:fullRef>
                    <c15:sqref>(DataB1!$D$106:$D$108,DataB1!$D$109:$D$111,DataB1!$D$112:$D$116)</c15:sqref>
                  </c15:fullRef>
                </c:ext>
              </c:extLst>
              <c:f>(DataB1!$D$106:$D$108,DataB1!$D$110:$D$111,DataB1!$D$112:$D$114)</c:f>
              <c:numCache>
                <c:formatCode>0%</c:formatCode>
                <c:ptCount val="8"/>
                <c:pt idx="0">
                  <c:v>0.88301923426235218</c:v>
                </c:pt>
                <c:pt idx="1">
                  <c:v>1.1344691618539178</c:v>
                </c:pt>
                <c:pt idx="2">
                  <c:v>0.97164205370713186</c:v>
                </c:pt>
                <c:pt idx="3">
                  <c:v>1.0736754354242848</c:v>
                </c:pt>
                <c:pt idx="4">
                  <c:v>0.99660611548244282</c:v>
                </c:pt>
                <c:pt idx="5">
                  <c:v>0.99186016514079134</c:v>
                </c:pt>
                <c:pt idx="6">
                  <c:v>0.83941054463392806</c:v>
                </c:pt>
                <c:pt idx="7">
                  <c:v>0.98184947303697823</c:v>
                </c:pt>
              </c:numCache>
            </c:numRef>
          </c:val>
        </c:ser>
        <c:ser>
          <c:idx val="4"/>
          <c:order val="3"/>
          <c:tx>
            <c:v>Métropoles</c:v>
          </c:tx>
          <c:spPr>
            <a:solidFill>
              <a:srgbClr val="FFC000"/>
            </a:solidFill>
            <a:ln>
              <a:solidFill>
                <a:srgbClr val="FFC000"/>
              </a:solidFill>
            </a:ln>
          </c:spPr>
          <c:invertIfNegative val="0"/>
          <c:cat>
            <c:strRef>
              <c:extLst>
                <c:ext xmlns:c15="http://schemas.microsoft.com/office/drawing/2012/chart" uri="{02D57815-91ED-43cb-92C2-25804820EDAC}">
                  <c15:fullRef>
                    <c15:sqref>(DataB1!$A$106:$A$108,DataB1!$A$109:$A$111,DataB1!$A$112:$A$116)</c15:sqref>
                  </c15:fullRef>
                </c:ext>
              </c:extLst>
              <c:f>(DataB1!$A$106:$A$108,DataB1!$A$110:$A$111,DataB1!$A$112:$A$114)</c:f>
              <c:strCache>
                <c:ptCount val="8"/>
                <c:pt idx="0">
                  <c:v>LO</c:v>
                </c:pt>
                <c:pt idx="1">
                  <c:v>FG</c:v>
                </c:pt>
                <c:pt idx="2">
                  <c:v>PS</c:v>
                </c:pt>
                <c:pt idx="3">
                  <c:v>EELV</c:v>
                </c:pt>
                <c:pt idx="4">
                  <c:v>MDM</c:v>
                </c:pt>
                <c:pt idx="5">
                  <c:v>UMP</c:v>
                </c:pt>
                <c:pt idx="6">
                  <c:v>DVD</c:v>
                </c:pt>
                <c:pt idx="7">
                  <c:v>FN</c:v>
                </c:pt>
              </c:strCache>
            </c:strRef>
          </c:cat>
          <c:val>
            <c:numRef>
              <c:extLst>
                <c:ext xmlns:c15="http://schemas.microsoft.com/office/drawing/2012/chart" uri="{02D57815-91ED-43cb-92C2-25804820EDAC}">
                  <c15:fullRef>
                    <c15:sqref>(DataB1!$E$106:$E$108,DataB1!$E$109:$E$111,DataB1!$E$112:$E$116)</c15:sqref>
                  </c15:fullRef>
                </c:ext>
              </c:extLst>
              <c:f>(DataB1!$E$106:$E$108,DataB1!$E$110:$E$111,DataB1!$E$112:$E$114)</c:f>
              <c:numCache>
                <c:formatCode>0%</c:formatCode>
                <c:ptCount val="8"/>
                <c:pt idx="0">
                  <c:v>0.82361093784988082</c:v>
                </c:pt>
                <c:pt idx="1">
                  <c:v>0.939440221295746</c:v>
                </c:pt>
                <c:pt idx="2">
                  <c:v>1.0218380282277255</c:v>
                </c:pt>
                <c:pt idx="3">
                  <c:v>1.3347719409745704</c:v>
                </c:pt>
                <c:pt idx="4">
                  <c:v>0.9909734273043147</c:v>
                </c:pt>
                <c:pt idx="5">
                  <c:v>1.0096179640749356</c:v>
                </c:pt>
                <c:pt idx="6">
                  <c:v>0.67883527586978265</c:v>
                </c:pt>
                <c:pt idx="7">
                  <c:v>0.7937133037870423</c:v>
                </c:pt>
              </c:numCache>
            </c:numRef>
          </c:val>
        </c:ser>
        <c:dLbls>
          <c:showLegendKey val="0"/>
          <c:showVal val="0"/>
          <c:showCatName val="0"/>
          <c:showSerName val="0"/>
          <c:showPercent val="0"/>
          <c:showBubbleSize val="0"/>
        </c:dLbls>
        <c:gapWidth val="50"/>
        <c:axId val="634638224"/>
        <c:axId val="634637832"/>
        <c:extLst>
          <c:ext xmlns:c15="http://schemas.microsoft.com/office/drawing/2012/chart" uri="{02D57815-91ED-43cb-92C2-25804820EDAC}">
            <c15:filteredBarSeries>
              <c15:ser>
                <c:idx val="2"/>
                <c:order val="4"/>
                <c:tx>
                  <c:v>Total</c:v>
                </c:tx>
                <c:spPr>
                  <a:solidFill>
                    <a:schemeClr val="tx1"/>
                  </a:solidFill>
                  <a:ln>
                    <a:solidFill>
                      <a:schemeClr val="tx1"/>
                    </a:solidFill>
                  </a:ln>
                </c:spPr>
                <c:invertIfNegative val="0"/>
                <c:cat>
                  <c:strRef>
                    <c:extLst>
                      <c:ext uri="{02D57815-91ED-43cb-92C2-25804820EDAC}">
                        <c15:fullRef>
                          <c15:sqref>(DataB1!$A$106:$A$108,DataB1!$A$109:$A$111,DataB1!$A$112:$A$116)</c15:sqref>
                        </c15:fullRef>
                        <c15:formulaRef>
                          <c15:sqref>(DataB1!$A$106:$A$108,DataB1!$A$110:$A$111,DataB1!$A$112:$A$114)</c15:sqref>
                        </c15:formulaRef>
                      </c:ext>
                    </c:extLst>
                    <c:strCache>
                      <c:ptCount val="8"/>
                      <c:pt idx="0">
                        <c:v>LO</c:v>
                      </c:pt>
                      <c:pt idx="1">
                        <c:v>FG</c:v>
                      </c:pt>
                      <c:pt idx="2">
                        <c:v>PS</c:v>
                      </c:pt>
                      <c:pt idx="3">
                        <c:v>EELV</c:v>
                      </c:pt>
                      <c:pt idx="4">
                        <c:v>MDM</c:v>
                      </c:pt>
                      <c:pt idx="5">
                        <c:v>UMP</c:v>
                      </c:pt>
                      <c:pt idx="6">
                        <c:v>DVD</c:v>
                      </c:pt>
                      <c:pt idx="7">
                        <c:v>FN</c:v>
                      </c:pt>
                    </c:strCache>
                  </c:strRef>
                </c:cat>
                <c:val>
                  <c:numRef>
                    <c:extLst>
                      <c:ext uri="{02D57815-91ED-43cb-92C2-25804820EDAC}">
                        <c15:fullRef>
                          <c15:sqref>(DataB1!$F$106:$F$108,DataB1!$F$109:$F$111,DataB1!$F$112:$F$116)</c15:sqref>
                        </c15:fullRef>
                        <c15:formulaRef>
                          <c15:sqref>(DataB1!$F$106:$F$108,DataB1!$F$110:$F$111,DataB1!$F$112:$F$114)</c15:sqref>
                        </c15:formulaRef>
                      </c:ext>
                    </c:extLst>
                    <c:numCache>
                      <c:formatCode>0%</c:formatCode>
                      <c:ptCount val="8"/>
                      <c:pt idx="0">
                        <c:v>1</c:v>
                      </c:pt>
                      <c:pt idx="1">
                        <c:v>1</c:v>
                      </c:pt>
                      <c:pt idx="2">
                        <c:v>1</c:v>
                      </c:pt>
                      <c:pt idx="3">
                        <c:v>1</c:v>
                      </c:pt>
                      <c:pt idx="4">
                        <c:v>1</c:v>
                      </c:pt>
                      <c:pt idx="5">
                        <c:v>1</c:v>
                      </c:pt>
                      <c:pt idx="6">
                        <c:v>1</c:v>
                      </c:pt>
                      <c:pt idx="7">
                        <c:v>1</c:v>
                      </c:pt>
                    </c:numCache>
                  </c:numRef>
                </c:val>
              </c15:ser>
            </c15:filteredBarSeries>
          </c:ext>
        </c:extLst>
      </c:barChart>
      <c:catAx>
        <c:axId val="634638224"/>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4637832"/>
        <c:crosses val="autoZero"/>
        <c:auto val="1"/>
        <c:lblAlgn val="ctr"/>
        <c:lblOffset val="100"/>
        <c:tickLblSkip val="1"/>
        <c:noMultiLvlLbl val="0"/>
      </c:catAx>
      <c:valAx>
        <c:axId val="634637832"/>
        <c:scaling>
          <c:orientation val="minMax"/>
          <c:max val="1.5"/>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voix pour les différents candidats </a:t>
                </a:r>
              </a:p>
              <a:p>
                <a:pPr>
                  <a:defRPr sz="1200" b="0">
                    <a:latin typeface="Arial Narrow" panose="020B0606020202030204" pitchFamily="34" charset="0"/>
                    <a:cs typeface="Arial" panose="020B0604020202020204" pitchFamily="34" charset="0"/>
                  </a:defRPr>
                </a:pPr>
                <a:r>
                  <a:rPr lang="fr-FR" sz="1200" b="0" baseline="0">
                    <a:latin typeface="Arial" panose="020B0604020202020204" pitchFamily="34" charset="0"/>
                    <a:cs typeface="Arial" panose="020B0604020202020204" pitchFamily="34" charset="0"/>
                  </a:rPr>
                  <a:t>(% moyenne nationale)</a:t>
                </a:r>
                <a:endParaRPr lang="fr-FR" sz="1200" b="0">
                  <a:latin typeface="Arial" panose="020B0604020202020204" pitchFamily="34" charset="0"/>
                  <a:cs typeface="Arial" panose="020B0604020202020204" pitchFamily="34" charset="0"/>
                </a:endParaRPr>
              </a:p>
            </c:rich>
          </c:tx>
          <c:layout>
            <c:manualLayout>
              <c:xMode val="edge"/>
              <c:yMode val="edge"/>
              <c:x val="1.3786389814930632E-3"/>
              <c:y val="7.7704149989196392E-2"/>
            </c:manualLayout>
          </c:layout>
          <c:overlay val="0"/>
        </c:title>
        <c:numFmt formatCode="0%" sourceLinked="0"/>
        <c:majorTickMark val="out"/>
        <c:minorTickMark val="none"/>
        <c:tickLblPos val="nextTo"/>
        <c:txPr>
          <a:bodyPr/>
          <a:lstStyle/>
          <a:p>
            <a:pPr>
              <a:defRPr sz="1400" b="0" i="0">
                <a:latin typeface="Arial"/>
              </a:defRPr>
            </a:pPr>
            <a:endParaRPr lang="fr-FR"/>
          </a:p>
        </c:txPr>
        <c:crossAx val="634638224"/>
        <c:crosses val="autoZero"/>
        <c:crossBetween val="between"/>
        <c:majorUnit val="0.1"/>
      </c:valAx>
      <c:spPr>
        <a:noFill/>
        <a:ln w="28575">
          <a:solidFill>
            <a:schemeClr val="tx1"/>
          </a:solidFill>
        </a:ln>
      </c:spPr>
    </c:plotArea>
    <c:legend>
      <c:legendPos val="t"/>
      <c:layout>
        <c:manualLayout>
          <c:xMode val="edge"/>
          <c:yMode val="edge"/>
          <c:x val="0.24864168048400326"/>
          <c:y val="6.9762134556375213E-2"/>
          <c:w val="0.58718042921590829"/>
          <c:h val="5.9859473273938132E-2"/>
        </c:manualLayout>
      </c:layout>
      <c:overlay val="0"/>
      <c:spPr>
        <a:solidFill>
          <a:sysClr val="window" lastClr="FFFFFF"/>
        </a:solidFill>
        <a:ln w="15875">
          <a:solidFill>
            <a:schemeClr val="tx1"/>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Graph. 16. L</a:t>
            </a:r>
            <a:r>
              <a:rPr lang="fr-FR" sz="1800"/>
              <a:t>e</a:t>
            </a:r>
            <a:r>
              <a:rPr lang="fr-FR" sz="1800" baseline="0"/>
              <a:t>s européennes 2014 et le clivage territorial</a:t>
            </a:r>
            <a:endParaRPr lang="fr-FR" sz="1800"/>
          </a:p>
        </c:rich>
      </c:tx>
      <c:layout>
        <c:manualLayout>
          <c:xMode val="edge"/>
          <c:yMode val="edge"/>
          <c:x val="0.21586971010297765"/>
          <c:y val="2.258409349675531E-3"/>
        </c:manualLayout>
      </c:layout>
      <c:overlay val="0"/>
    </c:title>
    <c:autoTitleDeleted val="0"/>
    <c:plotArea>
      <c:layout>
        <c:manualLayout>
          <c:layoutTarget val="inner"/>
          <c:xMode val="edge"/>
          <c:yMode val="edge"/>
          <c:x val="0.11627382572762514"/>
          <c:y val="5.7721210187661916E-2"/>
          <c:w val="0.872547409409551"/>
          <c:h val="0.71795898463114705"/>
        </c:manualLayout>
      </c:layout>
      <c:barChart>
        <c:barDir val="col"/>
        <c:grouping val="clustered"/>
        <c:varyColors val="0"/>
        <c:ser>
          <c:idx val="0"/>
          <c:order val="0"/>
          <c:tx>
            <c:v>Villages</c:v>
          </c:tx>
          <c:spPr>
            <a:solidFill>
              <a:srgbClr val="00B050"/>
            </a:solidFill>
            <a:ln>
              <a:solidFill>
                <a:srgbClr val="00B050"/>
              </a:solidFill>
            </a:ln>
          </c:spPr>
          <c:invertIfNegative val="0"/>
          <c:cat>
            <c:strRef>
              <c:extLst>
                <c:ext xmlns:c15="http://schemas.microsoft.com/office/drawing/2012/chart" uri="{02D57815-91ED-43cb-92C2-25804820EDAC}">
                  <c15:fullRef>
                    <c15:sqref>(DataB1!$A$133:$A$135,DataB1!$A$136:$A$138,DataB1!$A$139:$A$142)</c15:sqref>
                  </c15:fullRef>
                </c:ext>
              </c:extLst>
              <c:f>(DataB1!$A$133:$A$135,DataB1!$A$137:$A$138,DataB1!$A$139:$A$141)</c:f>
              <c:strCache>
                <c:ptCount val="8"/>
                <c:pt idx="0">
                  <c:v>LO</c:v>
                </c:pt>
                <c:pt idx="1">
                  <c:v>FG</c:v>
                </c:pt>
                <c:pt idx="2">
                  <c:v>PS</c:v>
                </c:pt>
                <c:pt idx="3">
                  <c:v>EELV</c:v>
                </c:pt>
                <c:pt idx="4">
                  <c:v>MDM</c:v>
                </c:pt>
                <c:pt idx="5">
                  <c:v>UMP</c:v>
                </c:pt>
                <c:pt idx="6">
                  <c:v>DVD</c:v>
                </c:pt>
                <c:pt idx="7">
                  <c:v>FN</c:v>
                </c:pt>
              </c:strCache>
            </c:strRef>
          </c:cat>
          <c:val>
            <c:numRef>
              <c:extLst>
                <c:ext xmlns:c15="http://schemas.microsoft.com/office/drawing/2012/chart" uri="{02D57815-91ED-43cb-92C2-25804820EDAC}">
                  <c15:fullRef>
                    <c15:sqref>(DataB1!$B$133:$B$135,DataB1!$B$136:$B$138,DataB1!$B$139:$B$142)</c15:sqref>
                  </c15:fullRef>
                </c:ext>
              </c:extLst>
              <c:f>(DataB1!$B$133:$B$135,DataB1!$B$137:$B$138,DataB1!$B$139:$B$141)</c:f>
              <c:numCache>
                <c:formatCode>0%</c:formatCode>
                <c:ptCount val="8"/>
                <c:pt idx="0">
                  <c:v>1.0255536687818394</c:v>
                </c:pt>
                <c:pt idx="1">
                  <c:v>0.94142041271465526</c:v>
                </c:pt>
                <c:pt idx="2">
                  <c:v>0.88237946944962931</c:v>
                </c:pt>
                <c:pt idx="3">
                  <c:v>0.89151506404365999</c:v>
                </c:pt>
                <c:pt idx="4">
                  <c:v>0.88911953584390102</c:v>
                </c:pt>
                <c:pt idx="5">
                  <c:v>1.0118373468679362</c:v>
                </c:pt>
                <c:pt idx="6">
                  <c:v>1.0115198691892693</c:v>
                </c:pt>
                <c:pt idx="7">
                  <c:v>1.1743522439353276</c:v>
                </c:pt>
              </c:numCache>
            </c:numRef>
          </c:val>
          <c:extLst/>
        </c:ser>
        <c:ser>
          <c:idx val="1"/>
          <c:order val="1"/>
          <c:tx>
            <c:v>Bourgs</c:v>
          </c:tx>
          <c:spPr>
            <a:solidFill>
              <a:srgbClr val="00B0F0"/>
            </a:solidFill>
            <a:ln>
              <a:solidFill>
                <a:srgbClr val="00B0F0"/>
              </a:solidFill>
            </a:ln>
          </c:spPr>
          <c:invertIfNegative val="0"/>
          <c:cat>
            <c:strRef>
              <c:extLst>
                <c:ext xmlns:c15="http://schemas.microsoft.com/office/drawing/2012/chart" uri="{02D57815-91ED-43cb-92C2-25804820EDAC}">
                  <c15:fullRef>
                    <c15:sqref>(DataB1!$A$133:$A$135,DataB1!$A$136:$A$138,DataB1!$A$139:$A$142)</c15:sqref>
                  </c15:fullRef>
                </c:ext>
              </c:extLst>
              <c:f>(DataB1!$A$133:$A$135,DataB1!$A$137:$A$138,DataB1!$A$139:$A$141)</c:f>
              <c:strCache>
                <c:ptCount val="8"/>
                <c:pt idx="0">
                  <c:v>LO</c:v>
                </c:pt>
                <c:pt idx="1">
                  <c:v>FG</c:v>
                </c:pt>
                <c:pt idx="2">
                  <c:v>PS</c:v>
                </c:pt>
                <c:pt idx="3">
                  <c:v>EELV</c:v>
                </c:pt>
                <c:pt idx="4">
                  <c:v>MDM</c:v>
                </c:pt>
                <c:pt idx="5">
                  <c:v>UMP</c:v>
                </c:pt>
                <c:pt idx="6">
                  <c:v>DVD</c:v>
                </c:pt>
                <c:pt idx="7">
                  <c:v>FN</c:v>
                </c:pt>
              </c:strCache>
            </c:strRef>
          </c:cat>
          <c:val>
            <c:numRef>
              <c:extLst>
                <c:ext xmlns:c15="http://schemas.microsoft.com/office/drawing/2012/chart" uri="{02D57815-91ED-43cb-92C2-25804820EDAC}">
                  <c15:fullRef>
                    <c15:sqref>(DataB1!$C$133:$C$135,DataB1!$C$136:$C$138,DataB1!$C$139:$C$142)</c15:sqref>
                  </c15:fullRef>
                </c:ext>
              </c:extLst>
              <c:f>(DataB1!$C$133:$C$135,DataB1!$C$137:$C$138,DataB1!$C$139:$C$141)</c:f>
              <c:numCache>
                <c:formatCode>0%</c:formatCode>
                <c:ptCount val="8"/>
                <c:pt idx="0">
                  <c:v>1.0036699139035361</c:v>
                </c:pt>
                <c:pt idx="1">
                  <c:v>0.97779897559399109</c:v>
                </c:pt>
                <c:pt idx="2">
                  <c:v>0.99187454431551647</c:v>
                </c:pt>
                <c:pt idx="3">
                  <c:v>0.92537636803596779</c:v>
                </c:pt>
                <c:pt idx="4">
                  <c:v>0.96688403921733845</c:v>
                </c:pt>
                <c:pt idx="5">
                  <c:v>1.0032802981342102</c:v>
                </c:pt>
                <c:pt idx="6">
                  <c:v>0.98287517731032203</c:v>
                </c:pt>
                <c:pt idx="7">
                  <c:v>1.0625893239219617</c:v>
                </c:pt>
              </c:numCache>
            </c:numRef>
          </c:val>
        </c:ser>
        <c:ser>
          <c:idx val="3"/>
          <c:order val="2"/>
          <c:tx>
            <c:v>Banlieues</c:v>
          </c:tx>
          <c:spPr>
            <a:solidFill>
              <a:srgbClr val="FF0000"/>
            </a:solidFill>
            <a:ln>
              <a:solidFill>
                <a:srgbClr val="FF0000"/>
              </a:solidFill>
            </a:ln>
          </c:spPr>
          <c:invertIfNegative val="0"/>
          <c:cat>
            <c:strRef>
              <c:extLst>
                <c:ext xmlns:c15="http://schemas.microsoft.com/office/drawing/2012/chart" uri="{02D57815-91ED-43cb-92C2-25804820EDAC}">
                  <c15:fullRef>
                    <c15:sqref>(DataB1!$A$133:$A$135,DataB1!$A$136:$A$138,DataB1!$A$139:$A$142)</c15:sqref>
                  </c15:fullRef>
                </c:ext>
              </c:extLst>
              <c:f>(DataB1!$A$133:$A$135,DataB1!$A$137:$A$138,DataB1!$A$139:$A$141)</c:f>
              <c:strCache>
                <c:ptCount val="8"/>
                <c:pt idx="0">
                  <c:v>LO</c:v>
                </c:pt>
                <c:pt idx="1">
                  <c:v>FG</c:v>
                </c:pt>
                <c:pt idx="2">
                  <c:v>PS</c:v>
                </c:pt>
                <c:pt idx="3">
                  <c:v>EELV</c:v>
                </c:pt>
                <c:pt idx="4">
                  <c:v>MDM</c:v>
                </c:pt>
                <c:pt idx="5">
                  <c:v>UMP</c:v>
                </c:pt>
                <c:pt idx="6">
                  <c:v>DVD</c:v>
                </c:pt>
                <c:pt idx="7">
                  <c:v>FN</c:v>
                </c:pt>
              </c:strCache>
            </c:strRef>
          </c:cat>
          <c:val>
            <c:numRef>
              <c:extLst>
                <c:ext xmlns:c15="http://schemas.microsoft.com/office/drawing/2012/chart" uri="{02D57815-91ED-43cb-92C2-25804820EDAC}">
                  <c15:fullRef>
                    <c15:sqref>(DataB1!$D$133:$D$135,DataB1!$D$136:$D$138,DataB1!$D$139:$D$142)</c15:sqref>
                  </c15:fullRef>
                </c:ext>
              </c:extLst>
              <c:f>(DataB1!$D$133:$D$135,DataB1!$D$137:$D$138,DataB1!$D$139:$D$141)</c:f>
              <c:numCache>
                <c:formatCode>0%</c:formatCode>
                <c:ptCount val="8"/>
                <c:pt idx="0">
                  <c:v>1.0417064378705276</c:v>
                </c:pt>
                <c:pt idx="1">
                  <c:v>1.0628935448661139</c:v>
                </c:pt>
                <c:pt idx="2">
                  <c:v>0.99932831305336933</c:v>
                </c:pt>
                <c:pt idx="3">
                  <c:v>0.99378590719861926</c:v>
                </c:pt>
                <c:pt idx="4">
                  <c:v>1.0762036490902853</c:v>
                </c:pt>
                <c:pt idx="5">
                  <c:v>0.98338123093902974</c:v>
                </c:pt>
                <c:pt idx="6">
                  <c:v>1.0636940099838041</c:v>
                </c:pt>
                <c:pt idx="7">
                  <c:v>0.92995986210695403</c:v>
                </c:pt>
              </c:numCache>
            </c:numRef>
          </c:val>
        </c:ser>
        <c:ser>
          <c:idx val="4"/>
          <c:order val="3"/>
          <c:tx>
            <c:v>Métropoles</c:v>
          </c:tx>
          <c:spPr>
            <a:solidFill>
              <a:srgbClr val="FFC000"/>
            </a:solidFill>
            <a:ln>
              <a:solidFill>
                <a:srgbClr val="FFC000"/>
              </a:solidFill>
            </a:ln>
          </c:spPr>
          <c:invertIfNegative val="0"/>
          <c:cat>
            <c:strRef>
              <c:extLst>
                <c:ext xmlns:c15="http://schemas.microsoft.com/office/drawing/2012/chart" uri="{02D57815-91ED-43cb-92C2-25804820EDAC}">
                  <c15:fullRef>
                    <c15:sqref>(DataB1!$A$133:$A$135,DataB1!$A$136:$A$138,DataB1!$A$139:$A$142)</c15:sqref>
                  </c15:fullRef>
                </c:ext>
              </c:extLst>
              <c:f>(DataB1!$A$133:$A$135,DataB1!$A$137:$A$138,DataB1!$A$139:$A$141)</c:f>
              <c:strCache>
                <c:ptCount val="8"/>
                <c:pt idx="0">
                  <c:v>LO</c:v>
                </c:pt>
                <c:pt idx="1">
                  <c:v>FG</c:v>
                </c:pt>
                <c:pt idx="2">
                  <c:v>PS</c:v>
                </c:pt>
                <c:pt idx="3">
                  <c:v>EELV</c:v>
                </c:pt>
                <c:pt idx="4">
                  <c:v>MDM</c:v>
                </c:pt>
                <c:pt idx="5">
                  <c:v>UMP</c:v>
                </c:pt>
                <c:pt idx="6">
                  <c:v>DVD</c:v>
                </c:pt>
                <c:pt idx="7">
                  <c:v>FN</c:v>
                </c:pt>
              </c:strCache>
            </c:strRef>
          </c:cat>
          <c:val>
            <c:numRef>
              <c:extLst>
                <c:ext xmlns:c15="http://schemas.microsoft.com/office/drawing/2012/chart" uri="{02D57815-91ED-43cb-92C2-25804820EDAC}">
                  <c15:fullRef>
                    <c15:sqref>(DataB1!$E$133:$E$135,DataB1!$E$136:$E$138,DataB1!$E$139:$E$142)</c15:sqref>
                  </c15:fullRef>
                </c:ext>
              </c:extLst>
              <c:f>(DataB1!$E$133:$E$135,DataB1!$E$137:$E$138,DataB1!$E$139:$E$141)</c:f>
              <c:numCache>
                <c:formatCode>0%</c:formatCode>
                <c:ptCount val="8"/>
                <c:pt idx="0">
                  <c:v>0.85766365775910869</c:v>
                </c:pt>
                <c:pt idx="1">
                  <c:v>1.0277937349446384</c:v>
                </c:pt>
                <c:pt idx="2">
                  <c:v>1.2296278835072685</c:v>
                </c:pt>
                <c:pt idx="3">
                  <c:v>1.3960135351993757</c:v>
                </c:pt>
                <c:pt idx="4">
                  <c:v>1.1199862624961632</c:v>
                </c:pt>
                <c:pt idx="5">
                  <c:v>1.005718011722508</c:v>
                </c:pt>
                <c:pt idx="6">
                  <c:v>0.88949637460026421</c:v>
                </c:pt>
                <c:pt idx="7">
                  <c:v>0.67943318398945884</c:v>
                </c:pt>
              </c:numCache>
            </c:numRef>
          </c:val>
        </c:ser>
        <c:dLbls>
          <c:showLegendKey val="0"/>
          <c:showVal val="0"/>
          <c:showCatName val="0"/>
          <c:showSerName val="0"/>
          <c:showPercent val="0"/>
          <c:showBubbleSize val="0"/>
        </c:dLbls>
        <c:gapWidth val="50"/>
        <c:axId val="634638616"/>
        <c:axId val="634639792"/>
        <c:extLst>
          <c:ext xmlns:c15="http://schemas.microsoft.com/office/drawing/2012/chart" uri="{02D57815-91ED-43cb-92C2-25804820EDAC}">
            <c15:filteredBarSeries>
              <c15:ser>
                <c:idx val="2"/>
                <c:order val="4"/>
                <c:tx>
                  <c:v>Total</c:v>
                </c:tx>
                <c:spPr>
                  <a:solidFill>
                    <a:schemeClr val="tx1"/>
                  </a:solidFill>
                  <a:ln>
                    <a:solidFill>
                      <a:schemeClr val="tx1"/>
                    </a:solidFill>
                  </a:ln>
                </c:spPr>
                <c:invertIfNegative val="0"/>
                <c:cat>
                  <c:strRef>
                    <c:extLst>
                      <c:ext uri="{02D57815-91ED-43cb-92C2-25804820EDAC}">
                        <c15:fullRef>
                          <c15:sqref>(DataB1!$A$133:$A$135,DataB1!$A$136:$A$138,DataB1!$A$139:$A$142)</c15:sqref>
                        </c15:fullRef>
                        <c15:formulaRef>
                          <c15:sqref>(DataB1!$A$133:$A$135,DataB1!$A$137:$A$138,DataB1!$A$139:$A$141)</c15:sqref>
                        </c15:formulaRef>
                      </c:ext>
                    </c:extLst>
                    <c:strCache>
                      <c:ptCount val="8"/>
                      <c:pt idx="0">
                        <c:v>LO</c:v>
                      </c:pt>
                      <c:pt idx="1">
                        <c:v>FG</c:v>
                      </c:pt>
                      <c:pt idx="2">
                        <c:v>PS</c:v>
                      </c:pt>
                      <c:pt idx="3">
                        <c:v>EELV</c:v>
                      </c:pt>
                      <c:pt idx="4">
                        <c:v>MDM</c:v>
                      </c:pt>
                      <c:pt idx="5">
                        <c:v>UMP</c:v>
                      </c:pt>
                      <c:pt idx="6">
                        <c:v>DVD</c:v>
                      </c:pt>
                      <c:pt idx="7">
                        <c:v>FN</c:v>
                      </c:pt>
                    </c:strCache>
                  </c:strRef>
                </c:cat>
                <c:val>
                  <c:numRef>
                    <c:extLst>
                      <c:ext uri="{02D57815-91ED-43cb-92C2-25804820EDAC}">
                        <c15:fullRef>
                          <c15:sqref>(DataB1!$F$133:$F$135,DataB1!$F$136:$F$138,DataB1!$F$139:$F$142)</c15:sqref>
                        </c15:fullRef>
                        <c15:formulaRef>
                          <c15:sqref>(DataB1!$F$133:$F$135,DataB1!$F$137:$F$138,DataB1!$F$139:$F$141)</c15:sqref>
                        </c15:formulaRef>
                      </c:ext>
                    </c:extLst>
                    <c:numCache>
                      <c:formatCode>0%</c:formatCode>
                      <c:ptCount val="8"/>
                      <c:pt idx="0">
                        <c:v>1</c:v>
                      </c:pt>
                      <c:pt idx="1">
                        <c:v>1</c:v>
                      </c:pt>
                      <c:pt idx="2">
                        <c:v>1</c:v>
                      </c:pt>
                      <c:pt idx="3">
                        <c:v>1</c:v>
                      </c:pt>
                      <c:pt idx="4">
                        <c:v>1</c:v>
                      </c:pt>
                      <c:pt idx="5">
                        <c:v>1</c:v>
                      </c:pt>
                      <c:pt idx="6">
                        <c:v>1</c:v>
                      </c:pt>
                      <c:pt idx="7">
                        <c:v>1</c:v>
                      </c:pt>
                    </c:numCache>
                  </c:numRef>
                </c:val>
              </c15:ser>
            </c15:filteredBarSeries>
          </c:ext>
        </c:extLst>
      </c:barChart>
      <c:catAx>
        <c:axId val="634638616"/>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4639792"/>
        <c:crosses val="autoZero"/>
        <c:auto val="1"/>
        <c:lblAlgn val="ctr"/>
        <c:lblOffset val="100"/>
        <c:tickLblSkip val="1"/>
        <c:noMultiLvlLbl val="0"/>
      </c:catAx>
      <c:valAx>
        <c:axId val="634639792"/>
        <c:scaling>
          <c:orientation val="minMax"/>
          <c:max val="1.6"/>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voix pour les différents candidats </a:t>
                </a:r>
              </a:p>
              <a:p>
                <a:pPr>
                  <a:defRPr sz="1200" b="0">
                    <a:latin typeface="Arial Narrow" panose="020B0606020202030204" pitchFamily="34" charset="0"/>
                    <a:cs typeface="Arial" panose="020B0604020202020204" pitchFamily="34" charset="0"/>
                  </a:defRPr>
                </a:pPr>
                <a:r>
                  <a:rPr lang="fr-FR" sz="1200" b="0" baseline="0">
                    <a:latin typeface="Arial" panose="020B0604020202020204" pitchFamily="34" charset="0"/>
                    <a:cs typeface="Arial" panose="020B0604020202020204" pitchFamily="34" charset="0"/>
                  </a:rPr>
                  <a:t>(% moyenne nationale)</a:t>
                </a:r>
                <a:endParaRPr lang="fr-FR" sz="1200" b="0">
                  <a:latin typeface="Arial" panose="020B0604020202020204" pitchFamily="34" charset="0"/>
                  <a:cs typeface="Arial" panose="020B0604020202020204" pitchFamily="34" charset="0"/>
                </a:endParaRPr>
              </a:p>
            </c:rich>
          </c:tx>
          <c:layout>
            <c:manualLayout>
              <c:xMode val="edge"/>
              <c:yMode val="edge"/>
              <c:x val="1.3786389814930632E-3"/>
              <c:y val="7.7704149989196392E-2"/>
            </c:manualLayout>
          </c:layout>
          <c:overlay val="0"/>
        </c:title>
        <c:numFmt formatCode="0%" sourceLinked="0"/>
        <c:majorTickMark val="out"/>
        <c:minorTickMark val="none"/>
        <c:tickLblPos val="nextTo"/>
        <c:txPr>
          <a:bodyPr/>
          <a:lstStyle/>
          <a:p>
            <a:pPr>
              <a:defRPr sz="1400" b="0" i="0">
                <a:latin typeface="Arial"/>
              </a:defRPr>
            </a:pPr>
            <a:endParaRPr lang="fr-FR"/>
          </a:p>
        </c:txPr>
        <c:crossAx val="634638616"/>
        <c:crosses val="autoZero"/>
        <c:crossBetween val="between"/>
        <c:majorUnit val="0.1"/>
      </c:valAx>
      <c:spPr>
        <a:noFill/>
        <a:ln w="28575">
          <a:solidFill>
            <a:schemeClr val="tx1"/>
          </a:solidFill>
        </a:ln>
      </c:spPr>
    </c:plotArea>
    <c:legend>
      <c:legendPos val="t"/>
      <c:layout>
        <c:manualLayout>
          <c:xMode val="edge"/>
          <c:yMode val="edge"/>
          <c:x val="0.24726021876479701"/>
          <c:y val="7.2028216466849981E-2"/>
          <c:w val="0.58718042921590829"/>
          <c:h val="5.9859473273938132E-2"/>
        </c:manualLayout>
      </c:layout>
      <c:overlay val="0"/>
      <c:spPr>
        <a:solidFill>
          <a:sysClr val="window" lastClr="FFFFFF"/>
        </a:solidFill>
        <a:ln w="15875">
          <a:solidFill>
            <a:schemeClr val="tx1"/>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Graph. 17. L</a:t>
            </a:r>
            <a:r>
              <a:rPr lang="fr-FR" sz="1800"/>
              <a:t>e</a:t>
            </a:r>
            <a:r>
              <a:rPr lang="fr-FR" sz="1800" baseline="0"/>
              <a:t>s européennes 2019 et le clivage territorial</a:t>
            </a:r>
            <a:endParaRPr lang="fr-FR" sz="1800"/>
          </a:p>
        </c:rich>
      </c:tx>
      <c:layout>
        <c:manualLayout>
          <c:xMode val="edge"/>
          <c:yMode val="edge"/>
          <c:x val="0.19652924603408992"/>
          <c:y val="2.258409349675531E-3"/>
        </c:manualLayout>
      </c:layout>
      <c:overlay val="0"/>
    </c:title>
    <c:autoTitleDeleted val="0"/>
    <c:plotArea>
      <c:layout>
        <c:manualLayout>
          <c:layoutTarget val="inner"/>
          <c:xMode val="edge"/>
          <c:yMode val="edge"/>
          <c:x val="0.11489236400841887"/>
          <c:y val="5.7721210187661916E-2"/>
          <c:w val="0.872547409409551"/>
          <c:h val="0.71795898463114705"/>
        </c:manualLayout>
      </c:layout>
      <c:barChart>
        <c:barDir val="col"/>
        <c:grouping val="clustered"/>
        <c:varyColors val="0"/>
        <c:ser>
          <c:idx val="0"/>
          <c:order val="0"/>
          <c:tx>
            <c:v>Villages</c:v>
          </c:tx>
          <c:spPr>
            <a:solidFill>
              <a:srgbClr val="00B050"/>
            </a:solidFill>
            <a:ln>
              <a:solidFill>
                <a:srgbClr val="00B050"/>
              </a:solidFill>
            </a:ln>
          </c:spPr>
          <c:invertIfNegative val="0"/>
          <c:cat>
            <c:strRef>
              <c:extLst>
                <c:ext xmlns:c15="http://schemas.microsoft.com/office/drawing/2012/chart" uri="{02D57815-91ED-43cb-92C2-25804820EDAC}">
                  <c15:fullRef>
                    <c15:sqref>(DataB1!$H$23:$H$25,DataB1!$H$26:$H$28,DataB1!$H$29:$H$36)</c15:sqref>
                  </c15:fullRef>
                </c:ext>
              </c:extLst>
              <c:f>(DataB1!$H$23:$H$25,DataB1!$H$27:$H$28,DataB1!$H$29:$H$33)</c:f>
              <c:strCache>
                <c:ptCount val="10"/>
                <c:pt idx="0">
                  <c:v>LO</c:v>
                </c:pt>
                <c:pt idx="1">
                  <c:v>PCF</c:v>
                </c:pt>
                <c:pt idx="2">
                  <c:v>LFI</c:v>
                </c:pt>
                <c:pt idx="3">
                  <c:v>PS</c:v>
                </c:pt>
                <c:pt idx="4">
                  <c:v>EELV</c:v>
                </c:pt>
                <c:pt idx="5">
                  <c:v>REN</c:v>
                </c:pt>
                <c:pt idx="6">
                  <c:v>LR</c:v>
                </c:pt>
                <c:pt idx="7">
                  <c:v>DLF</c:v>
                </c:pt>
                <c:pt idx="8">
                  <c:v>DVD</c:v>
                </c:pt>
                <c:pt idx="9">
                  <c:v>RN</c:v>
                </c:pt>
              </c:strCache>
            </c:strRef>
          </c:cat>
          <c:val>
            <c:numRef>
              <c:extLst>
                <c:ext xmlns:c15="http://schemas.microsoft.com/office/drawing/2012/chart" uri="{02D57815-91ED-43cb-92C2-25804820EDAC}">
                  <c15:fullRef>
                    <c15:sqref>(DataB1!$I$23:$I$25,DataB1!$I$26:$I$28,DataB1!$I$29:$I$36)</c15:sqref>
                  </c15:fullRef>
                </c:ext>
              </c:extLst>
              <c:f>(DataB1!$I$23:$I$25,DataB1!$I$27:$I$28,DataB1!$I$29:$I$33)</c:f>
              <c:numCache>
                <c:formatCode>0%</c:formatCode>
                <c:ptCount val="10"/>
                <c:pt idx="0">
                  <c:v>1.1791256476802841</c:v>
                </c:pt>
                <c:pt idx="1">
                  <c:v>0.88074294646739215</c:v>
                </c:pt>
                <c:pt idx="2">
                  <c:v>0.98768677718859077</c:v>
                </c:pt>
                <c:pt idx="3">
                  <c:v>0.87811880157326838</c:v>
                </c:pt>
                <c:pt idx="4">
                  <c:v>0.84604946824719041</c:v>
                </c:pt>
                <c:pt idx="5">
                  <c:v>0.85740035602366593</c:v>
                </c:pt>
                <c:pt idx="6">
                  <c:v>1.0638745283993369</c:v>
                </c:pt>
                <c:pt idx="7">
                  <c:v>1.2937491973286679</c:v>
                </c:pt>
                <c:pt idx="8">
                  <c:v>0.9669986369050112</c:v>
                </c:pt>
                <c:pt idx="9">
                  <c:v>1.2089861921010654</c:v>
                </c:pt>
              </c:numCache>
            </c:numRef>
          </c:val>
          <c:extLst/>
        </c:ser>
        <c:ser>
          <c:idx val="1"/>
          <c:order val="1"/>
          <c:tx>
            <c:v>Bourgs</c:v>
          </c:tx>
          <c:spPr>
            <a:solidFill>
              <a:srgbClr val="00B0F0"/>
            </a:solidFill>
            <a:ln>
              <a:solidFill>
                <a:srgbClr val="00B0F0"/>
              </a:solidFill>
            </a:ln>
          </c:spPr>
          <c:invertIfNegative val="0"/>
          <c:cat>
            <c:strRef>
              <c:extLst>
                <c:ext xmlns:c15="http://schemas.microsoft.com/office/drawing/2012/chart" uri="{02D57815-91ED-43cb-92C2-25804820EDAC}">
                  <c15:fullRef>
                    <c15:sqref>(DataB1!$H$23:$H$25,DataB1!$H$26:$H$28,DataB1!$H$29:$H$36)</c15:sqref>
                  </c15:fullRef>
                </c:ext>
              </c:extLst>
              <c:f>(DataB1!$H$23:$H$25,DataB1!$H$27:$H$28,DataB1!$H$29:$H$33)</c:f>
              <c:strCache>
                <c:ptCount val="10"/>
                <c:pt idx="0">
                  <c:v>LO</c:v>
                </c:pt>
                <c:pt idx="1">
                  <c:v>PCF</c:v>
                </c:pt>
                <c:pt idx="2">
                  <c:v>LFI</c:v>
                </c:pt>
                <c:pt idx="3">
                  <c:v>PS</c:v>
                </c:pt>
                <c:pt idx="4">
                  <c:v>EELV</c:v>
                </c:pt>
                <c:pt idx="5">
                  <c:v>REN</c:v>
                </c:pt>
                <c:pt idx="6">
                  <c:v>LR</c:v>
                </c:pt>
                <c:pt idx="7">
                  <c:v>DLF</c:v>
                </c:pt>
                <c:pt idx="8">
                  <c:v>DVD</c:v>
                </c:pt>
                <c:pt idx="9">
                  <c:v>RN</c:v>
                </c:pt>
              </c:strCache>
            </c:strRef>
          </c:cat>
          <c:val>
            <c:numRef>
              <c:extLst>
                <c:ext xmlns:c15="http://schemas.microsoft.com/office/drawing/2012/chart" uri="{02D57815-91ED-43cb-92C2-25804820EDAC}">
                  <c15:fullRef>
                    <c15:sqref>(DataB1!$J$23:$J$25,DataB1!$J$26:$J$28,DataB1!$J$29:$J$36)</c15:sqref>
                  </c15:fullRef>
                </c:ext>
              </c:extLst>
              <c:f>(DataB1!$J$23:$J$25,DataB1!$J$27:$J$28,DataB1!$J$29:$J$33)</c:f>
              <c:numCache>
                <c:formatCode>0%</c:formatCode>
                <c:ptCount val="10"/>
                <c:pt idx="0">
                  <c:v>1.0812137071086794</c:v>
                </c:pt>
                <c:pt idx="1">
                  <c:v>0.93284880195685804</c:v>
                </c:pt>
                <c:pt idx="2">
                  <c:v>0.97102500971412309</c:v>
                </c:pt>
                <c:pt idx="3">
                  <c:v>0.9764669971633182</c:v>
                </c:pt>
                <c:pt idx="4">
                  <c:v>0.92250493895246888</c:v>
                </c:pt>
                <c:pt idx="5">
                  <c:v>0.96438937639657518</c:v>
                </c:pt>
                <c:pt idx="6">
                  <c:v>0.9782539303861556</c:v>
                </c:pt>
                <c:pt idx="7">
                  <c:v>1.0825662254385198</c:v>
                </c:pt>
                <c:pt idx="8">
                  <c:v>0.95741713784009319</c:v>
                </c:pt>
                <c:pt idx="9">
                  <c:v>1.0990513068263892</c:v>
                </c:pt>
              </c:numCache>
            </c:numRef>
          </c:val>
        </c:ser>
        <c:ser>
          <c:idx val="3"/>
          <c:order val="2"/>
          <c:tx>
            <c:v>Banlieues</c:v>
          </c:tx>
          <c:spPr>
            <a:solidFill>
              <a:srgbClr val="FF0000"/>
            </a:solidFill>
            <a:ln>
              <a:solidFill>
                <a:srgbClr val="FF0000"/>
              </a:solidFill>
            </a:ln>
          </c:spPr>
          <c:invertIfNegative val="0"/>
          <c:cat>
            <c:strRef>
              <c:extLst>
                <c:ext xmlns:c15="http://schemas.microsoft.com/office/drawing/2012/chart" uri="{02D57815-91ED-43cb-92C2-25804820EDAC}">
                  <c15:fullRef>
                    <c15:sqref>(DataB1!$H$23:$H$25,DataB1!$H$26:$H$28,DataB1!$H$29:$H$36)</c15:sqref>
                  </c15:fullRef>
                </c:ext>
              </c:extLst>
              <c:f>(DataB1!$H$23:$H$25,DataB1!$H$27:$H$28,DataB1!$H$29:$H$33)</c:f>
              <c:strCache>
                <c:ptCount val="10"/>
                <c:pt idx="0">
                  <c:v>LO</c:v>
                </c:pt>
                <c:pt idx="1">
                  <c:v>PCF</c:v>
                </c:pt>
                <c:pt idx="2">
                  <c:v>LFI</c:v>
                </c:pt>
                <c:pt idx="3">
                  <c:v>PS</c:v>
                </c:pt>
                <c:pt idx="4">
                  <c:v>EELV</c:v>
                </c:pt>
                <c:pt idx="5">
                  <c:v>REN</c:v>
                </c:pt>
                <c:pt idx="6">
                  <c:v>LR</c:v>
                </c:pt>
                <c:pt idx="7">
                  <c:v>DLF</c:v>
                </c:pt>
                <c:pt idx="8">
                  <c:v>DVD</c:v>
                </c:pt>
                <c:pt idx="9">
                  <c:v>RN</c:v>
                </c:pt>
              </c:strCache>
            </c:strRef>
          </c:cat>
          <c:val>
            <c:numRef>
              <c:extLst>
                <c:ext xmlns:c15="http://schemas.microsoft.com/office/drawing/2012/chart" uri="{02D57815-91ED-43cb-92C2-25804820EDAC}">
                  <c15:fullRef>
                    <c15:sqref>(DataB1!$K$23:$K$25,DataB1!$K$26:$K$28,DataB1!$K$29:$K$36)</c15:sqref>
                  </c15:fullRef>
                </c:ext>
              </c:extLst>
              <c:f>(DataB1!$K$23:$K$25,DataB1!$K$27:$K$28,DataB1!$K$29:$K$33)</c:f>
              <c:numCache>
                <c:formatCode>0%</c:formatCode>
                <c:ptCount val="10"/>
                <c:pt idx="0">
                  <c:v>0.87231119741068641</c:v>
                </c:pt>
                <c:pt idx="1">
                  <c:v>1.1390546388123979</c:v>
                </c:pt>
                <c:pt idx="2">
                  <c:v>1.013126344268523</c:v>
                </c:pt>
                <c:pt idx="3">
                  <c:v>1.0196009733833469</c:v>
                </c:pt>
                <c:pt idx="4">
                  <c:v>1.0648925504188878</c:v>
                </c:pt>
                <c:pt idx="5">
                  <c:v>1.0732046611359343</c:v>
                </c:pt>
                <c:pt idx="6">
                  <c:v>0.96263981128243759</c:v>
                </c:pt>
                <c:pt idx="7">
                  <c:v>0.87510444572020107</c:v>
                </c:pt>
                <c:pt idx="8">
                  <c:v>1.0841506066911402</c:v>
                </c:pt>
                <c:pt idx="9">
                  <c:v>0.88104968959625407</c:v>
                </c:pt>
              </c:numCache>
            </c:numRef>
          </c:val>
        </c:ser>
        <c:ser>
          <c:idx val="4"/>
          <c:order val="3"/>
          <c:tx>
            <c:v>Métropoles</c:v>
          </c:tx>
          <c:spPr>
            <a:solidFill>
              <a:srgbClr val="FFC000"/>
            </a:solidFill>
            <a:ln>
              <a:solidFill>
                <a:srgbClr val="FFC000"/>
              </a:solidFill>
            </a:ln>
          </c:spPr>
          <c:invertIfNegative val="0"/>
          <c:cat>
            <c:strRef>
              <c:extLst>
                <c:ext xmlns:c15="http://schemas.microsoft.com/office/drawing/2012/chart" uri="{02D57815-91ED-43cb-92C2-25804820EDAC}">
                  <c15:fullRef>
                    <c15:sqref>(DataB1!$H$23:$H$25,DataB1!$H$26:$H$28,DataB1!$H$29:$H$36)</c15:sqref>
                  </c15:fullRef>
                </c:ext>
              </c:extLst>
              <c:f>(DataB1!$H$23:$H$25,DataB1!$H$27:$H$28,DataB1!$H$29:$H$33)</c:f>
              <c:strCache>
                <c:ptCount val="10"/>
                <c:pt idx="0">
                  <c:v>LO</c:v>
                </c:pt>
                <c:pt idx="1">
                  <c:v>PCF</c:v>
                </c:pt>
                <c:pt idx="2">
                  <c:v>LFI</c:v>
                </c:pt>
                <c:pt idx="3">
                  <c:v>PS</c:v>
                </c:pt>
                <c:pt idx="4">
                  <c:v>EELV</c:v>
                </c:pt>
                <c:pt idx="5">
                  <c:v>REN</c:v>
                </c:pt>
                <c:pt idx="6">
                  <c:v>LR</c:v>
                </c:pt>
                <c:pt idx="7">
                  <c:v>DLF</c:v>
                </c:pt>
                <c:pt idx="8">
                  <c:v>DVD</c:v>
                </c:pt>
                <c:pt idx="9">
                  <c:v>RN</c:v>
                </c:pt>
              </c:strCache>
            </c:strRef>
          </c:cat>
          <c:val>
            <c:numRef>
              <c:extLst>
                <c:ext xmlns:c15="http://schemas.microsoft.com/office/drawing/2012/chart" uri="{02D57815-91ED-43cb-92C2-25804820EDAC}">
                  <c15:fullRef>
                    <c15:sqref>(DataB1!$L$23:$L$25,DataB1!$L$26:$L$28,DataB1!$L$29:$L$36)</c15:sqref>
                  </c15:fullRef>
                </c:ext>
              </c:extLst>
              <c:f>(DataB1!$L$23:$L$25,DataB1!$L$27:$L$28,DataB1!$L$29:$L$33)</c:f>
              <c:numCache>
                <c:formatCode>0%</c:formatCode>
                <c:ptCount val="10"/>
                <c:pt idx="0">
                  <c:v>0.7468649734624726</c:v>
                </c:pt>
                <c:pt idx="1">
                  <c:v>1.0872174224251907</c:v>
                </c:pt>
                <c:pt idx="2">
                  <c:v>1.0717364518677839</c:v>
                </c:pt>
                <c:pt idx="3">
                  <c:v>1.2313914507375618</c:v>
                </c:pt>
                <c:pt idx="4">
                  <c:v>1.3355973423637184</c:v>
                </c:pt>
                <c:pt idx="5">
                  <c:v>1.1839375034834265</c:v>
                </c:pt>
                <c:pt idx="6">
                  <c:v>1.0302303139881903</c:v>
                </c:pt>
                <c:pt idx="7">
                  <c:v>0.53993882528715809</c:v>
                </c:pt>
                <c:pt idx="8">
                  <c:v>0.99069831946443976</c:v>
                </c:pt>
                <c:pt idx="9">
                  <c:v>0.62797098297583198</c:v>
                </c:pt>
              </c:numCache>
            </c:numRef>
          </c:val>
        </c:ser>
        <c:dLbls>
          <c:showLegendKey val="0"/>
          <c:showVal val="0"/>
          <c:showCatName val="0"/>
          <c:showSerName val="0"/>
          <c:showPercent val="0"/>
          <c:showBubbleSize val="0"/>
        </c:dLbls>
        <c:gapWidth val="50"/>
        <c:axId val="634642928"/>
        <c:axId val="634633128"/>
        <c:extLst>
          <c:ext xmlns:c15="http://schemas.microsoft.com/office/drawing/2012/chart" uri="{02D57815-91ED-43cb-92C2-25804820EDAC}">
            <c15:filteredBarSeries>
              <c15:ser>
                <c:idx val="2"/>
                <c:order val="4"/>
                <c:tx>
                  <c:v>Total</c:v>
                </c:tx>
                <c:spPr>
                  <a:solidFill>
                    <a:schemeClr val="tx1"/>
                  </a:solidFill>
                  <a:ln>
                    <a:solidFill>
                      <a:schemeClr val="tx1"/>
                    </a:solidFill>
                  </a:ln>
                </c:spPr>
                <c:invertIfNegative val="0"/>
                <c:cat>
                  <c:strRef>
                    <c:extLst>
                      <c:ext uri="{02D57815-91ED-43cb-92C2-25804820EDAC}">
                        <c15:fullRef>
                          <c15:sqref>(DataB1!$H$23:$H$25,DataB1!$H$26:$H$28,DataB1!$H$29:$H$36)</c15:sqref>
                        </c15:fullRef>
                        <c15:formulaRef>
                          <c15:sqref>(DataB1!$H$23:$H$25,DataB1!$H$27:$H$28,DataB1!$H$29:$H$33)</c15:sqref>
                        </c15:formulaRef>
                      </c:ext>
                    </c:extLst>
                    <c:strCache>
                      <c:ptCount val="10"/>
                      <c:pt idx="0">
                        <c:v>LO</c:v>
                      </c:pt>
                      <c:pt idx="1">
                        <c:v>PCF</c:v>
                      </c:pt>
                      <c:pt idx="2">
                        <c:v>LFI</c:v>
                      </c:pt>
                      <c:pt idx="3">
                        <c:v>PS</c:v>
                      </c:pt>
                      <c:pt idx="4">
                        <c:v>EELV</c:v>
                      </c:pt>
                      <c:pt idx="5">
                        <c:v>REN</c:v>
                      </c:pt>
                      <c:pt idx="6">
                        <c:v>LR</c:v>
                      </c:pt>
                      <c:pt idx="7">
                        <c:v>DLF</c:v>
                      </c:pt>
                      <c:pt idx="8">
                        <c:v>DVD</c:v>
                      </c:pt>
                      <c:pt idx="9">
                        <c:v>RN</c:v>
                      </c:pt>
                    </c:strCache>
                  </c:strRef>
                </c:cat>
                <c:val>
                  <c:numRef>
                    <c:extLst>
                      <c:ext uri="{02D57815-91ED-43cb-92C2-25804820EDAC}">
                        <c15:fullRef>
                          <c15:sqref>(DataB1!$M$23:$M$25,DataB1!$M$26:$M$28,DataB1!$M$29:$M$36)</c15:sqref>
                        </c15:fullRef>
                        <c15:formulaRef>
                          <c15:sqref>(DataB1!$M$23:$M$25,DataB1!$M$27:$M$28,DataB1!$M$29:$M$33)</c15:sqref>
                        </c15:formulaRef>
                      </c:ext>
                    </c:extLst>
                    <c:numCache>
                      <c:formatCode>0%</c:formatCode>
                      <c:ptCount val="10"/>
                      <c:pt idx="0">
                        <c:v>1</c:v>
                      </c:pt>
                      <c:pt idx="1">
                        <c:v>1</c:v>
                      </c:pt>
                      <c:pt idx="2">
                        <c:v>1</c:v>
                      </c:pt>
                      <c:pt idx="3">
                        <c:v>1</c:v>
                      </c:pt>
                      <c:pt idx="4">
                        <c:v>1</c:v>
                      </c:pt>
                      <c:pt idx="5">
                        <c:v>1</c:v>
                      </c:pt>
                      <c:pt idx="6">
                        <c:v>1</c:v>
                      </c:pt>
                      <c:pt idx="7">
                        <c:v>1</c:v>
                      </c:pt>
                      <c:pt idx="8">
                        <c:v>1</c:v>
                      </c:pt>
                      <c:pt idx="9">
                        <c:v>1</c:v>
                      </c:pt>
                    </c:numCache>
                  </c:numRef>
                </c:val>
              </c15:ser>
            </c15:filteredBarSeries>
          </c:ext>
        </c:extLst>
      </c:barChart>
      <c:catAx>
        <c:axId val="634642928"/>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4633128"/>
        <c:crosses val="autoZero"/>
        <c:auto val="1"/>
        <c:lblAlgn val="ctr"/>
        <c:lblOffset val="100"/>
        <c:tickLblSkip val="1"/>
        <c:noMultiLvlLbl val="0"/>
      </c:catAx>
      <c:valAx>
        <c:axId val="634633128"/>
        <c:scaling>
          <c:orientation val="minMax"/>
          <c:max val="1.5"/>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voix pour les différents candidats </a:t>
                </a:r>
              </a:p>
              <a:p>
                <a:pPr>
                  <a:defRPr sz="1200" b="0">
                    <a:latin typeface="Arial Narrow" panose="020B0606020202030204" pitchFamily="34" charset="0"/>
                    <a:cs typeface="Arial" panose="020B0604020202020204" pitchFamily="34" charset="0"/>
                  </a:defRPr>
                </a:pPr>
                <a:r>
                  <a:rPr lang="fr-FR" sz="1200" b="0" baseline="0">
                    <a:latin typeface="Arial" panose="020B0604020202020204" pitchFamily="34" charset="0"/>
                    <a:cs typeface="Arial" panose="020B0604020202020204" pitchFamily="34" charset="0"/>
                  </a:rPr>
                  <a:t>(% moyenne nationale)</a:t>
                </a:r>
                <a:endParaRPr lang="fr-FR" sz="1200" b="0">
                  <a:latin typeface="Arial" panose="020B0604020202020204" pitchFamily="34" charset="0"/>
                  <a:cs typeface="Arial" panose="020B0604020202020204" pitchFamily="34" charset="0"/>
                </a:endParaRPr>
              </a:p>
            </c:rich>
          </c:tx>
          <c:layout>
            <c:manualLayout>
              <c:xMode val="edge"/>
              <c:yMode val="edge"/>
              <c:x val="1.3786389814930632E-3"/>
              <c:y val="7.7704149989196392E-2"/>
            </c:manualLayout>
          </c:layout>
          <c:overlay val="0"/>
        </c:title>
        <c:numFmt formatCode="0%" sourceLinked="0"/>
        <c:majorTickMark val="out"/>
        <c:minorTickMark val="none"/>
        <c:tickLblPos val="nextTo"/>
        <c:txPr>
          <a:bodyPr/>
          <a:lstStyle/>
          <a:p>
            <a:pPr>
              <a:defRPr sz="1400" b="0" i="0">
                <a:latin typeface="Arial"/>
              </a:defRPr>
            </a:pPr>
            <a:endParaRPr lang="fr-FR"/>
          </a:p>
        </c:txPr>
        <c:crossAx val="634642928"/>
        <c:crosses val="autoZero"/>
        <c:crossBetween val="between"/>
        <c:majorUnit val="0.1"/>
      </c:valAx>
      <c:spPr>
        <a:noFill/>
        <a:ln w="28575">
          <a:solidFill>
            <a:schemeClr val="tx1"/>
          </a:solidFill>
        </a:ln>
      </c:spPr>
    </c:plotArea>
    <c:legend>
      <c:legendPos val="t"/>
      <c:layout>
        <c:manualLayout>
          <c:xMode val="edge"/>
          <c:yMode val="edge"/>
          <c:x val="0.25416752736082826"/>
          <c:y val="6.5229970735425663E-2"/>
          <c:w val="0.58718042921590829"/>
          <c:h val="5.9859473273938132E-2"/>
        </c:manualLayout>
      </c:layout>
      <c:overlay val="0"/>
      <c:spPr>
        <a:solidFill>
          <a:sysClr val="window" lastClr="FFFFFF"/>
        </a:solidFill>
        <a:ln w="15875">
          <a:solidFill>
            <a:schemeClr val="tx1"/>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Graph. 18. L</a:t>
            </a:r>
            <a:r>
              <a:rPr lang="fr-FR" sz="1800"/>
              <a:t>e</a:t>
            </a:r>
            <a:r>
              <a:rPr lang="fr-FR" sz="1800" baseline="0"/>
              <a:t>s européennes 2024 et le clivage territorial</a:t>
            </a:r>
            <a:endParaRPr lang="fr-FR" sz="1800"/>
          </a:p>
        </c:rich>
      </c:tx>
      <c:layout>
        <c:manualLayout>
          <c:xMode val="edge"/>
          <c:yMode val="edge"/>
          <c:x val="0.20758093978774"/>
          <c:y val="2.258409349675531E-3"/>
        </c:manualLayout>
      </c:layout>
      <c:overlay val="0"/>
    </c:title>
    <c:autoTitleDeleted val="0"/>
    <c:plotArea>
      <c:layout>
        <c:manualLayout>
          <c:layoutTarget val="inner"/>
          <c:xMode val="edge"/>
          <c:yMode val="edge"/>
          <c:x val="0.11489236400841887"/>
          <c:y val="5.7721210187661916E-2"/>
          <c:w val="0.872547409409551"/>
          <c:h val="0.71795898463114705"/>
        </c:manualLayout>
      </c:layout>
      <c:barChart>
        <c:barDir val="col"/>
        <c:grouping val="clustered"/>
        <c:varyColors val="0"/>
        <c:ser>
          <c:idx val="0"/>
          <c:order val="0"/>
          <c:tx>
            <c:v>Villages</c:v>
          </c:tx>
          <c:spPr>
            <a:solidFill>
              <a:srgbClr val="00B050"/>
            </a:solidFill>
            <a:ln>
              <a:solidFill>
                <a:srgbClr val="00B050"/>
              </a:solidFill>
            </a:ln>
          </c:spPr>
          <c:invertIfNegative val="0"/>
          <c:cat>
            <c:strRef>
              <c:extLst>
                <c:ext xmlns:c15="http://schemas.microsoft.com/office/drawing/2012/chart" uri="{02D57815-91ED-43cb-92C2-25804820EDAC}">
                  <c15:fullRef>
                    <c15:sqref>(DataB1!$H$57:$H$59,DataB1!$H$60:$H$62,DataB1!$H$63:$H$70)</c15:sqref>
                  </c15:fullRef>
                </c:ext>
              </c:extLst>
              <c:f>(DataB1!$H$57,DataB1!$H$59,DataB1!$H$60:$H$62,DataB1!$H$63:$H$67)</c:f>
              <c:strCache>
                <c:ptCount val="10"/>
                <c:pt idx="0">
                  <c:v>LO</c:v>
                </c:pt>
                <c:pt idx="1">
                  <c:v>PCF</c:v>
                </c:pt>
                <c:pt idx="2">
                  <c:v>LFI</c:v>
                </c:pt>
                <c:pt idx="3">
                  <c:v>PS</c:v>
                </c:pt>
                <c:pt idx="4">
                  <c:v>EELV</c:v>
                </c:pt>
                <c:pt idx="5">
                  <c:v>ENS</c:v>
                </c:pt>
                <c:pt idx="6">
                  <c:v>LR</c:v>
                </c:pt>
                <c:pt idx="7">
                  <c:v>DVD</c:v>
                </c:pt>
                <c:pt idx="8">
                  <c:v>RN</c:v>
                </c:pt>
                <c:pt idx="9">
                  <c:v>REC</c:v>
                </c:pt>
              </c:strCache>
            </c:strRef>
          </c:cat>
          <c:val>
            <c:numRef>
              <c:extLst>
                <c:ext xmlns:c15="http://schemas.microsoft.com/office/drawing/2012/chart" uri="{02D57815-91ED-43cb-92C2-25804820EDAC}">
                  <c15:fullRef>
                    <c15:sqref>(DataB1!$I$57:$I$59,DataB1!$I$60:$I$62,DataB1!$I$63:$I$70)</c15:sqref>
                  </c15:fullRef>
                </c:ext>
              </c:extLst>
              <c:f>(DataB1!$I$57,DataB1!$I$59,DataB1!$I$60:$I$62,DataB1!$I$63:$I$67)</c:f>
              <c:numCache>
                <c:formatCode>0%</c:formatCode>
                <c:ptCount val="10"/>
                <c:pt idx="0">
                  <c:v>1.2075435806234804</c:v>
                </c:pt>
                <c:pt idx="1">
                  <c:v>1.0390729778449548</c:v>
                </c:pt>
                <c:pt idx="2">
                  <c:v>0.50884029152313937</c:v>
                </c:pt>
                <c:pt idx="3">
                  <c:v>0.82485008812076532</c:v>
                </c:pt>
                <c:pt idx="4">
                  <c:v>0.7798420253837155</c:v>
                </c:pt>
                <c:pt idx="5">
                  <c:v>0.90637108149999646</c:v>
                </c:pt>
                <c:pt idx="6">
                  <c:v>0.98973547230019976</c:v>
                </c:pt>
                <c:pt idx="7">
                  <c:v>1.0783283452591399</c:v>
                </c:pt>
                <c:pt idx="8">
                  <c:v>1.2353417650088512</c:v>
                </c:pt>
                <c:pt idx="9">
                  <c:v>0.97907296686717049</c:v>
                </c:pt>
              </c:numCache>
            </c:numRef>
          </c:val>
          <c:extLst/>
        </c:ser>
        <c:ser>
          <c:idx val="1"/>
          <c:order val="1"/>
          <c:tx>
            <c:v>Bourgs</c:v>
          </c:tx>
          <c:spPr>
            <a:solidFill>
              <a:srgbClr val="00B0F0"/>
            </a:solidFill>
            <a:ln>
              <a:solidFill>
                <a:srgbClr val="00B0F0"/>
              </a:solidFill>
            </a:ln>
          </c:spPr>
          <c:invertIfNegative val="0"/>
          <c:cat>
            <c:strRef>
              <c:extLst>
                <c:ext xmlns:c15="http://schemas.microsoft.com/office/drawing/2012/chart" uri="{02D57815-91ED-43cb-92C2-25804820EDAC}">
                  <c15:fullRef>
                    <c15:sqref>(DataB1!$H$57:$H$59,DataB1!$H$60:$H$62,DataB1!$H$63:$H$70)</c15:sqref>
                  </c15:fullRef>
                </c:ext>
              </c:extLst>
              <c:f>(DataB1!$H$57,DataB1!$H$59,DataB1!$H$60:$H$62,DataB1!$H$63:$H$67)</c:f>
              <c:strCache>
                <c:ptCount val="10"/>
                <c:pt idx="0">
                  <c:v>LO</c:v>
                </c:pt>
                <c:pt idx="1">
                  <c:v>PCF</c:v>
                </c:pt>
                <c:pt idx="2">
                  <c:v>LFI</c:v>
                </c:pt>
                <c:pt idx="3">
                  <c:v>PS</c:v>
                </c:pt>
                <c:pt idx="4">
                  <c:v>EELV</c:v>
                </c:pt>
                <c:pt idx="5">
                  <c:v>ENS</c:v>
                </c:pt>
                <c:pt idx="6">
                  <c:v>LR</c:v>
                </c:pt>
                <c:pt idx="7">
                  <c:v>DVD</c:v>
                </c:pt>
                <c:pt idx="8">
                  <c:v>RN</c:v>
                </c:pt>
                <c:pt idx="9">
                  <c:v>REC</c:v>
                </c:pt>
              </c:strCache>
            </c:strRef>
          </c:cat>
          <c:val>
            <c:numRef>
              <c:extLst>
                <c:ext xmlns:c15="http://schemas.microsoft.com/office/drawing/2012/chart" uri="{02D57815-91ED-43cb-92C2-25804820EDAC}">
                  <c15:fullRef>
                    <c15:sqref>(DataB1!$J$57:$J$59,DataB1!$J$60:$J$62,DataB1!$J$63:$J$70)</c15:sqref>
                  </c15:fullRef>
                </c:ext>
              </c:extLst>
              <c:f>(DataB1!$J$57,DataB1!$J$59,DataB1!$J$60:$J$62,DataB1!$J$63:$J$67)</c:f>
              <c:numCache>
                <c:formatCode>0%</c:formatCode>
                <c:ptCount val="10"/>
                <c:pt idx="0">
                  <c:v>1.0868027234860778</c:v>
                </c:pt>
                <c:pt idx="1">
                  <c:v>1.0538383506131872</c:v>
                </c:pt>
                <c:pt idx="2">
                  <c:v>0.70294411811731827</c:v>
                </c:pt>
                <c:pt idx="3">
                  <c:v>0.96201026659936095</c:v>
                </c:pt>
                <c:pt idx="4">
                  <c:v>0.86107457112640884</c:v>
                </c:pt>
                <c:pt idx="5">
                  <c:v>1.0254955960192813</c:v>
                </c:pt>
                <c:pt idx="6">
                  <c:v>0.94791979048782793</c:v>
                </c:pt>
                <c:pt idx="7">
                  <c:v>0.99228128153222261</c:v>
                </c:pt>
                <c:pt idx="8">
                  <c:v>1.1231256800073759</c:v>
                </c:pt>
                <c:pt idx="9">
                  <c:v>0.98906218871945706</c:v>
                </c:pt>
              </c:numCache>
            </c:numRef>
          </c:val>
        </c:ser>
        <c:ser>
          <c:idx val="3"/>
          <c:order val="2"/>
          <c:tx>
            <c:v>Banlieues</c:v>
          </c:tx>
          <c:spPr>
            <a:solidFill>
              <a:srgbClr val="FF0000"/>
            </a:solidFill>
            <a:ln>
              <a:solidFill>
                <a:srgbClr val="FF0000"/>
              </a:solidFill>
            </a:ln>
          </c:spPr>
          <c:invertIfNegative val="0"/>
          <c:cat>
            <c:strRef>
              <c:extLst>
                <c:ext xmlns:c15="http://schemas.microsoft.com/office/drawing/2012/chart" uri="{02D57815-91ED-43cb-92C2-25804820EDAC}">
                  <c15:fullRef>
                    <c15:sqref>(DataB1!$H$57:$H$59,DataB1!$H$60:$H$62,DataB1!$H$63:$H$70)</c15:sqref>
                  </c15:fullRef>
                </c:ext>
              </c:extLst>
              <c:f>(DataB1!$H$57,DataB1!$H$59,DataB1!$H$60:$H$62,DataB1!$H$63:$H$67)</c:f>
              <c:strCache>
                <c:ptCount val="10"/>
                <c:pt idx="0">
                  <c:v>LO</c:v>
                </c:pt>
                <c:pt idx="1">
                  <c:v>PCF</c:v>
                </c:pt>
                <c:pt idx="2">
                  <c:v>LFI</c:v>
                </c:pt>
                <c:pt idx="3">
                  <c:v>PS</c:v>
                </c:pt>
                <c:pt idx="4">
                  <c:v>EELV</c:v>
                </c:pt>
                <c:pt idx="5">
                  <c:v>ENS</c:v>
                </c:pt>
                <c:pt idx="6">
                  <c:v>LR</c:v>
                </c:pt>
                <c:pt idx="7">
                  <c:v>DVD</c:v>
                </c:pt>
                <c:pt idx="8">
                  <c:v>RN</c:v>
                </c:pt>
                <c:pt idx="9">
                  <c:v>REC</c:v>
                </c:pt>
              </c:strCache>
            </c:strRef>
          </c:cat>
          <c:val>
            <c:numRef>
              <c:extLst>
                <c:ext xmlns:c15="http://schemas.microsoft.com/office/drawing/2012/chart" uri="{02D57815-91ED-43cb-92C2-25804820EDAC}">
                  <c15:fullRef>
                    <c15:sqref>(DataB1!$K$57:$K$59,DataB1!$K$60:$K$62,DataB1!$K$63:$K$70)</c15:sqref>
                  </c15:fullRef>
                </c:ext>
              </c:extLst>
              <c:f>(DataB1!$K$57,DataB1!$K$59,DataB1!$K$60:$K$62,DataB1!$K$63:$K$67)</c:f>
              <c:numCache>
                <c:formatCode>0%</c:formatCode>
                <c:ptCount val="10"/>
                <c:pt idx="0">
                  <c:v>0.85366270107591313</c:v>
                </c:pt>
                <c:pt idx="1">
                  <c:v>1.0036439825035137</c:v>
                </c:pt>
                <c:pt idx="2">
                  <c:v>1.4124176279992873</c:v>
                </c:pt>
                <c:pt idx="3">
                  <c:v>1.0144230401755547</c:v>
                </c:pt>
                <c:pt idx="4">
                  <c:v>1.0402197443277623</c:v>
                </c:pt>
                <c:pt idx="5">
                  <c:v>1.0251190049373564</c:v>
                </c:pt>
                <c:pt idx="6">
                  <c:v>1.0350717700745795</c:v>
                </c:pt>
                <c:pt idx="7">
                  <c:v>0.99360369902593826</c:v>
                </c:pt>
                <c:pt idx="8">
                  <c:v>0.86970792632560057</c:v>
                </c:pt>
                <c:pt idx="9">
                  <c:v>1.024667232744509</c:v>
                </c:pt>
              </c:numCache>
            </c:numRef>
          </c:val>
        </c:ser>
        <c:ser>
          <c:idx val="4"/>
          <c:order val="3"/>
          <c:tx>
            <c:v>Métropoles</c:v>
          </c:tx>
          <c:spPr>
            <a:solidFill>
              <a:srgbClr val="FFC000"/>
            </a:solidFill>
            <a:ln>
              <a:solidFill>
                <a:srgbClr val="FFC000"/>
              </a:solidFill>
            </a:ln>
          </c:spPr>
          <c:invertIfNegative val="0"/>
          <c:cat>
            <c:strRef>
              <c:extLst>
                <c:ext xmlns:c15="http://schemas.microsoft.com/office/drawing/2012/chart" uri="{02D57815-91ED-43cb-92C2-25804820EDAC}">
                  <c15:fullRef>
                    <c15:sqref>(DataB1!$H$57:$H$59,DataB1!$H$60:$H$62,DataB1!$H$63:$H$70)</c15:sqref>
                  </c15:fullRef>
                </c:ext>
              </c:extLst>
              <c:f>(DataB1!$H$57,DataB1!$H$59,DataB1!$H$60:$H$62,DataB1!$H$63:$H$67)</c:f>
              <c:strCache>
                <c:ptCount val="10"/>
                <c:pt idx="0">
                  <c:v>LO</c:v>
                </c:pt>
                <c:pt idx="1">
                  <c:v>PCF</c:v>
                </c:pt>
                <c:pt idx="2">
                  <c:v>LFI</c:v>
                </c:pt>
                <c:pt idx="3">
                  <c:v>PS</c:v>
                </c:pt>
                <c:pt idx="4">
                  <c:v>EELV</c:v>
                </c:pt>
                <c:pt idx="5">
                  <c:v>ENS</c:v>
                </c:pt>
                <c:pt idx="6">
                  <c:v>LR</c:v>
                </c:pt>
                <c:pt idx="7">
                  <c:v>DVD</c:v>
                </c:pt>
                <c:pt idx="8">
                  <c:v>RN</c:v>
                </c:pt>
                <c:pt idx="9">
                  <c:v>REC</c:v>
                </c:pt>
              </c:strCache>
            </c:strRef>
          </c:cat>
          <c:val>
            <c:numRef>
              <c:extLst>
                <c:ext xmlns:c15="http://schemas.microsoft.com/office/drawing/2012/chart" uri="{02D57815-91ED-43cb-92C2-25804820EDAC}">
                  <c15:fullRef>
                    <c15:sqref>(DataB1!$L$57:$L$59,DataB1!$L$60:$L$62,DataB1!$L$63:$L$70)</c15:sqref>
                  </c15:fullRef>
                </c:ext>
              </c:extLst>
              <c:f>(DataB1!$L$57,DataB1!$L$59,DataB1!$L$60:$L$62,DataB1!$L$63:$L$67)</c:f>
              <c:numCache>
                <c:formatCode>0%</c:formatCode>
                <c:ptCount val="10"/>
                <c:pt idx="0">
                  <c:v>0.74565794491250592</c:v>
                </c:pt>
                <c:pt idx="1">
                  <c:v>0.788935403533361</c:v>
                </c:pt>
                <c:pt idx="2">
                  <c:v>1.6992776792627284</c:v>
                </c:pt>
                <c:pt idx="3">
                  <c:v>1.3542752970005136</c:v>
                </c:pt>
                <c:pt idx="4">
                  <c:v>1.6346940221832762</c:v>
                </c:pt>
                <c:pt idx="5">
                  <c:v>1.033876466834581</c:v>
                </c:pt>
                <c:pt idx="6">
                  <c:v>1.0774159754776553</c:v>
                </c:pt>
                <c:pt idx="7">
                  <c:v>0.90545042436295031</c:v>
                </c:pt>
                <c:pt idx="8">
                  <c:v>0.57213891178666265</c:v>
                </c:pt>
                <c:pt idx="9">
                  <c:v>1.0103168440881496</c:v>
                </c:pt>
              </c:numCache>
            </c:numRef>
          </c:val>
        </c:ser>
        <c:dLbls>
          <c:showLegendKey val="0"/>
          <c:showVal val="0"/>
          <c:showCatName val="0"/>
          <c:showSerName val="0"/>
          <c:showPercent val="0"/>
          <c:showBubbleSize val="0"/>
        </c:dLbls>
        <c:gapWidth val="50"/>
        <c:axId val="634640968"/>
        <c:axId val="634640184"/>
        <c:extLst>
          <c:ext xmlns:c15="http://schemas.microsoft.com/office/drawing/2012/chart" uri="{02D57815-91ED-43cb-92C2-25804820EDAC}">
            <c15:filteredBarSeries>
              <c15:ser>
                <c:idx val="2"/>
                <c:order val="4"/>
                <c:tx>
                  <c:v>Total</c:v>
                </c:tx>
                <c:spPr>
                  <a:solidFill>
                    <a:schemeClr val="tx1"/>
                  </a:solidFill>
                  <a:ln>
                    <a:solidFill>
                      <a:schemeClr val="tx1"/>
                    </a:solidFill>
                  </a:ln>
                </c:spPr>
                <c:invertIfNegative val="0"/>
                <c:cat>
                  <c:strRef>
                    <c:extLst>
                      <c:ext uri="{02D57815-91ED-43cb-92C2-25804820EDAC}">
                        <c15:fullRef>
                          <c15:sqref>(DataB1!$H$57:$H$59,DataB1!$H$60:$H$62,DataB1!$H$63:$H$70)</c15:sqref>
                        </c15:fullRef>
                        <c15:formulaRef>
                          <c15:sqref>(DataB1!$H$57,DataB1!$H$59,DataB1!$H$60:$H$62,DataB1!$H$63:$H$67)</c15:sqref>
                        </c15:formulaRef>
                      </c:ext>
                    </c:extLst>
                    <c:strCache>
                      <c:ptCount val="10"/>
                      <c:pt idx="0">
                        <c:v>LO</c:v>
                      </c:pt>
                      <c:pt idx="1">
                        <c:v>PCF</c:v>
                      </c:pt>
                      <c:pt idx="2">
                        <c:v>LFI</c:v>
                      </c:pt>
                      <c:pt idx="3">
                        <c:v>PS</c:v>
                      </c:pt>
                      <c:pt idx="4">
                        <c:v>EELV</c:v>
                      </c:pt>
                      <c:pt idx="5">
                        <c:v>ENS</c:v>
                      </c:pt>
                      <c:pt idx="6">
                        <c:v>LR</c:v>
                      </c:pt>
                      <c:pt idx="7">
                        <c:v>DVD</c:v>
                      </c:pt>
                      <c:pt idx="8">
                        <c:v>RN</c:v>
                      </c:pt>
                      <c:pt idx="9">
                        <c:v>REC</c:v>
                      </c:pt>
                    </c:strCache>
                  </c:strRef>
                </c:cat>
                <c:val>
                  <c:numRef>
                    <c:extLst>
                      <c:ext uri="{02D57815-91ED-43cb-92C2-25804820EDAC}">
                        <c15:fullRef>
                          <c15:sqref>(DataB1!$M$57:$M$59,DataB1!$M$60:$M$62,DataB1!$M$63:$M$70)</c15:sqref>
                        </c15:fullRef>
                        <c15:formulaRef>
                          <c15:sqref>(DataB1!$M$57,DataB1!$M$59,DataB1!$M$60:$M$62,DataB1!$M$63:$M$67)</c15:sqref>
                        </c15:formulaRef>
                      </c:ext>
                    </c:extLst>
                    <c:numCache>
                      <c:formatCode>0%</c:formatCode>
                      <c:ptCount val="10"/>
                      <c:pt idx="0">
                        <c:v>1</c:v>
                      </c:pt>
                      <c:pt idx="1">
                        <c:v>1</c:v>
                      </c:pt>
                      <c:pt idx="2">
                        <c:v>1</c:v>
                      </c:pt>
                      <c:pt idx="3">
                        <c:v>1</c:v>
                      </c:pt>
                      <c:pt idx="4">
                        <c:v>1</c:v>
                      </c:pt>
                      <c:pt idx="5">
                        <c:v>1</c:v>
                      </c:pt>
                      <c:pt idx="6">
                        <c:v>1</c:v>
                      </c:pt>
                      <c:pt idx="7">
                        <c:v>1</c:v>
                      </c:pt>
                      <c:pt idx="8">
                        <c:v>1</c:v>
                      </c:pt>
                      <c:pt idx="9">
                        <c:v>1</c:v>
                      </c:pt>
                    </c:numCache>
                  </c:numRef>
                </c:val>
              </c15:ser>
            </c15:filteredBarSeries>
          </c:ext>
        </c:extLst>
      </c:barChart>
      <c:catAx>
        <c:axId val="634640968"/>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4640184"/>
        <c:crosses val="autoZero"/>
        <c:auto val="1"/>
        <c:lblAlgn val="ctr"/>
        <c:lblOffset val="100"/>
        <c:tickLblSkip val="1"/>
        <c:noMultiLvlLbl val="0"/>
      </c:catAx>
      <c:valAx>
        <c:axId val="634640184"/>
        <c:scaling>
          <c:orientation val="minMax"/>
          <c:max val="1.9"/>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voix pour les différents candidats </a:t>
                </a:r>
              </a:p>
              <a:p>
                <a:pPr>
                  <a:defRPr sz="1200" b="0">
                    <a:latin typeface="Arial Narrow" panose="020B0606020202030204" pitchFamily="34" charset="0"/>
                    <a:cs typeface="Arial" panose="020B0604020202020204" pitchFamily="34" charset="0"/>
                  </a:defRPr>
                </a:pPr>
                <a:r>
                  <a:rPr lang="fr-FR" sz="1200" b="0" baseline="0">
                    <a:latin typeface="Arial" panose="020B0604020202020204" pitchFamily="34" charset="0"/>
                    <a:cs typeface="Arial" panose="020B0604020202020204" pitchFamily="34" charset="0"/>
                  </a:rPr>
                  <a:t>(% moyenne nationale)</a:t>
                </a:r>
                <a:endParaRPr lang="fr-FR" sz="1200" b="0">
                  <a:latin typeface="Arial" panose="020B0604020202020204" pitchFamily="34" charset="0"/>
                  <a:cs typeface="Arial" panose="020B0604020202020204" pitchFamily="34" charset="0"/>
                </a:endParaRPr>
              </a:p>
            </c:rich>
          </c:tx>
          <c:layout>
            <c:manualLayout>
              <c:xMode val="edge"/>
              <c:yMode val="edge"/>
              <c:x val="1.3786389814930632E-3"/>
              <c:y val="7.7704149989196392E-2"/>
            </c:manualLayout>
          </c:layout>
          <c:overlay val="0"/>
        </c:title>
        <c:numFmt formatCode="0%" sourceLinked="0"/>
        <c:majorTickMark val="out"/>
        <c:minorTickMark val="none"/>
        <c:tickLblPos val="nextTo"/>
        <c:txPr>
          <a:bodyPr/>
          <a:lstStyle/>
          <a:p>
            <a:pPr>
              <a:defRPr sz="1400" b="0" i="0">
                <a:latin typeface="Arial"/>
              </a:defRPr>
            </a:pPr>
            <a:endParaRPr lang="fr-FR"/>
          </a:p>
        </c:txPr>
        <c:crossAx val="634640968"/>
        <c:crosses val="autoZero"/>
        <c:crossBetween val="between"/>
        <c:majorUnit val="0.1"/>
      </c:valAx>
      <c:spPr>
        <a:noFill/>
        <a:ln w="28575">
          <a:solidFill>
            <a:schemeClr val="tx1"/>
          </a:solidFill>
        </a:ln>
      </c:spPr>
    </c:plotArea>
    <c:legend>
      <c:legendPos val="t"/>
      <c:layout>
        <c:manualLayout>
          <c:xMode val="edge"/>
          <c:yMode val="edge"/>
          <c:x val="0.25416752736082826"/>
          <c:y val="6.5229970735425663E-2"/>
          <c:w val="0.58718042921590829"/>
          <c:h val="5.9859473273938132E-2"/>
        </c:manualLayout>
      </c:layout>
      <c:overlay val="0"/>
      <c:spPr>
        <a:solidFill>
          <a:sysClr val="window" lastClr="FFFFFF"/>
        </a:solidFill>
        <a:ln w="15875">
          <a:solidFill>
            <a:schemeClr val="tx1"/>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1800" baseline="0"/>
              <a:t>Graph. 19. Tripartition et clivage territorial </a:t>
            </a:r>
            <a:r>
              <a:rPr lang="fr-FR" sz="1600" b="0" baseline="0"/>
              <a:t>(européennes 2019)</a:t>
            </a:r>
            <a:endParaRPr lang="fr-FR" sz="1600" b="0"/>
          </a:p>
        </c:rich>
      </c:tx>
      <c:layout>
        <c:manualLayout>
          <c:xMode val="edge"/>
          <c:yMode val="edge"/>
          <c:x val="0.21710976235486354"/>
          <c:y val="2.254126990159673E-3"/>
        </c:manualLayout>
      </c:layout>
      <c:overlay val="0"/>
    </c:title>
    <c:autoTitleDeleted val="0"/>
    <c:plotArea>
      <c:layout>
        <c:manualLayout>
          <c:layoutTarget val="inner"/>
          <c:xMode val="edge"/>
          <c:yMode val="edge"/>
          <c:x val="0.11351316369094558"/>
          <c:y val="5.9987220890766878E-2"/>
          <c:w val="0.872547409409551"/>
          <c:h val="0.70207306344799125"/>
        </c:manualLayout>
      </c:layout>
      <c:barChart>
        <c:barDir val="col"/>
        <c:grouping val="clustered"/>
        <c:varyColors val="0"/>
        <c:ser>
          <c:idx val="0"/>
          <c:order val="0"/>
          <c:tx>
            <c:v>Villages</c:v>
          </c:tx>
          <c:spPr>
            <a:solidFill>
              <a:srgbClr val="00B050"/>
            </a:solidFill>
            <a:ln>
              <a:solidFill>
                <a:srgbClr val="00B050"/>
              </a:solidFill>
            </a:ln>
          </c:spPr>
          <c:invertIfNegative val="0"/>
          <c:cat>
            <c:strLit>
              <c:ptCount val="3"/>
              <c:pt idx="0">
                <c:v>Bloc social-écologique                  (PS, EELV, LFI, PCF)</c:v>
              </c:pt>
              <c:pt idx="1">
                <c:v>Bloc libéral-progressiste (LREM, Modem, UDI)</c:v>
              </c:pt>
              <c:pt idx="2">
                <c:v>Bloc national-libéral                                     (RN, LR, DLF)</c:v>
              </c:pt>
            </c:strLit>
          </c:cat>
          <c:val>
            <c:numLit>
              <c:formatCode>0%</c:formatCode>
              <c:ptCount val="3"/>
              <c:pt idx="0">
                <c:v>0.90192572075285637</c:v>
              </c:pt>
              <c:pt idx="1">
                <c:v>0.86769133337624371</c:v>
              </c:pt>
              <c:pt idx="2">
                <c:v>1.1632401686604481</c:v>
              </c:pt>
            </c:numLit>
          </c:val>
          <c:extLst/>
        </c:ser>
        <c:ser>
          <c:idx val="1"/>
          <c:order val="1"/>
          <c:tx>
            <c:v>Bourgs</c:v>
          </c:tx>
          <c:spPr>
            <a:solidFill>
              <a:srgbClr val="00B0F0"/>
            </a:solidFill>
            <a:ln>
              <a:solidFill>
                <a:srgbClr val="00B0F0"/>
              </a:solidFill>
            </a:ln>
          </c:spPr>
          <c:invertIfNegative val="0"/>
          <c:cat>
            <c:strLit>
              <c:ptCount val="3"/>
              <c:pt idx="0">
                <c:v>Bloc social-écologique                  (PS, EELV, LFI, PCF)</c:v>
              </c:pt>
              <c:pt idx="1">
                <c:v>Bloc libéral-progressiste (LREM, Modem, UDI)</c:v>
              </c:pt>
              <c:pt idx="2">
                <c:v>Bloc national-libéral                                     (RN, LR, DLF)</c:v>
              </c:pt>
            </c:strLit>
          </c:cat>
          <c:val>
            <c:numLit>
              <c:formatCode>0%</c:formatCode>
              <c:ptCount val="3"/>
              <c:pt idx="0">
                <c:v>0.95316856787373849</c:v>
              </c:pt>
              <c:pt idx="1">
                <c:v>0.96780766740982593</c:v>
              </c:pt>
              <c:pt idx="2">
                <c:v>1.058930678505388</c:v>
              </c:pt>
            </c:numLit>
          </c:val>
        </c:ser>
        <c:ser>
          <c:idx val="3"/>
          <c:order val="2"/>
          <c:tx>
            <c:v>Banlieues</c:v>
          </c:tx>
          <c:spPr>
            <a:solidFill>
              <a:srgbClr val="FF0000"/>
            </a:solidFill>
            <a:ln>
              <a:solidFill>
                <a:srgbClr val="FF0000"/>
              </a:solidFill>
            </a:ln>
          </c:spPr>
          <c:invertIfNegative val="0"/>
          <c:cat>
            <c:strLit>
              <c:ptCount val="3"/>
              <c:pt idx="0">
                <c:v>Bloc social-écologique                  (PS, EELV, LFI, PCF)</c:v>
              </c:pt>
              <c:pt idx="1">
                <c:v>Bloc libéral-progressiste (LREM, Modem, UDI)</c:v>
              </c:pt>
              <c:pt idx="2">
                <c:v>Bloc national-libéral                                     (RN, LR, DLF)</c:v>
              </c:pt>
            </c:strLit>
          </c:cat>
          <c:val>
            <c:numLit>
              <c:formatCode>0%</c:formatCode>
              <c:ptCount val="3"/>
              <c:pt idx="0">
                <c:v>1.0431077620720277</c:v>
              </c:pt>
              <c:pt idx="1">
                <c:v>1.0725109150900756</c:v>
              </c:pt>
              <c:pt idx="2">
                <c:v>0.91943815095946935</c:v>
              </c:pt>
            </c:numLit>
          </c:val>
        </c:ser>
        <c:ser>
          <c:idx val="4"/>
          <c:order val="3"/>
          <c:tx>
            <c:v>Métropoles</c:v>
          </c:tx>
          <c:spPr>
            <a:solidFill>
              <a:srgbClr val="FFC000"/>
            </a:solidFill>
            <a:ln>
              <a:solidFill>
                <a:srgbClr val="FFC000"/>
              </a:solidFill>
            </a:ln>
          </c:spPr>
          <c:invertIfNegative val="0"/>
          <c:cat>
            <c:strLit>
              <c:ptCount val="3"/>
              <c:pt idx="0">
                <c:v>Bloc social-écologique                  (PS, EELV, LFI, PCF)</c:v>
              </c:pt>
              <c:pt idx="1">
                <c:v>Bloc libéral-progressiste (LREM, Modem, UDI)</c:v>
              </c:pt>
              <c:pt idx="2">
                <c:v>Bloc national-libéral                                     (RN, LR, DLF)</c:v>
              </c:pt>
            </c:strLit>
          </c:cat>
          <c:val>
            <c:numLit>
              <c:formatCode>0%</c:formatCode>
              <c:ptCount val="3"/>
              <c:pt idx="0">
                <c:v>1.2030523723271969</c:v>
              </c:pt>
              <c:pt idx="1">
                <c:v>1.1584191611124046</c:v>
              </c:pt>
              <c:pt idx="2">
                <c:v>0.73292483834930189</c:v>
              </c:pt>
            </c:numLit>
          </c:val>
        </c:ser>
        <c:dLbls>
          <c:showLegendKey val="0"/>
          <c:showVal val="0"/>
          <c:showCatName val="0"/>
          <c:showSerName val="0"/>
          <c:showPercent val="0"/>
          <c:showBubbleSize val="0"/>
        </c:dLbls>
        <c:gapWidth val="50"/>
        <c:axId val="634639400"/>
        <c:axId val="634631952"/>
        <c:extLst>
          <c:ext xmlns:c15="http://schemas.microsoft.com/office/drawing/2012/chart" uri="{02D57815-91ED-43cb-92C2-25804820EDAC}">
            <c15:filteredBarSeries>
              <c15:ser>
                <c:idx val="2"/>
                <c:order val="4"/>
                <c:tx>
                  <c:v>Total</c:v>
                </c:tx>
                <c:spPr>
                  <a:solidFill>
                    <a:schemeClr val="tx1"/>
                  </a:solidFill>
                  <a:ln>
                    <a:solidFill>
                      <a:schemeClr val="tx1"/>
                    </a:solidFill>
                  </a:ln>
                </c:spPr>
                <c:invertIfNegative val="0"/>
                <c:cat>
                  <c:strLit>
                    <c:ptCount val="3"/>
                    <c:pt idx="0">
                      <c:v>Bloc social-écologique                  (PS, EELV, LFI, PCF)</c:v>
                    </c:pt>
                    <c:pt idx="1">
                      <c:v>Bloc libéral-progressiste (LREM, Modem, UDI)</c:v>
                    </c:pt>
                    <c:pt idx="2">
                      <c:v>Bloc national-libéral                                     (RN, LR, DLF)</c:v>
                    </c:pt>
                  </c:strLit>
                </c:cat>
                <c:val>
                  <c:numLit>
                    <c:formatCode>0%</c:formatCode>
                    <c:ptCount val="3"/>
                    <c:pt idx="0">
                      <c:v>1</c:v>
                    </c:pt>
                    <c:pt idx="1">
                      <c:v>1</c:v>
                    </c:pt>
                    <c:pt idx="2">
                      <c:v>1</c:v>
                    </c:pt>
                  </c:numLit>
                </c:val>
              </c15:ser>
            </c15:filteredBarSeries>
          </c:ext>
        </c:extLst>
      </c:barChart>
      <c:catAx>
        <c:axId val="634639400"/>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4631952"/>
        <c:crosses val="autoZero"/>
        <c:auto val="1"/>
        <c:lblAlgn val="ctr"/>
        <c:lblOffset val="100"/>
        <c:tickLblSkip val="1"/>
        <c:noMultiLvlLbl val="0"/>
      </c:catAx>
      <c:valAx>
        <c:axId val="634631952"/>
        <c:scaling>
          <c:orientation val="minMax"/>
          <c:max val="1.6"/>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voix pour les différents courants </a:t>
                </a:r>
              </a:p>
              <a:p>
                <a:pPr>
                  <a:defRPr sz="1200" b="0">
                    <a:latin typeface="Arial Narrow" panose="020B0606020202030204" pitchFamily="34" charset="0"/>
                    <a:cs typeface="Arial" panose="020B0604020202020204" pitchFamily="34" charset="0"/>
                  </a:defRPr>
                </a:pPr>
                <a:r>
                  <a:rPr lang="fr-FR" sz="1200" b="0" baseline="0">
                    <a:latin typeface="Arial" panose="020B0604020202020204" pitchFamily="34" charset="0"/>
                    <a:cs typeface="Arial" panose="020B0604020202020204" pitchFamily="34" charset="0"/>
                  </a:rPr>
                  <a:t>(% moyenne nationale)</a:t>
                </a:r>
                <a:endParaRPr lang="fr-FR" sz="1200" b="0">
                  <a:latin typeface="Arial" panose="020B0604020202020204" pitchFamily="34" charset="0"/>
                  <a:cs typeface="Arial" panose="020B0604020202020204" pitchFamily="34" charset="0"/>
                </a:endParaRPr>
              </a:p>
            </c:rich>
          </c:tx>
          <c:layout>
            <c:manualLayout>
              <c:xMode val="edge"/>
              <c:yMode val="edge"/>
              <c:x val="1.3786389814930632E-3"/>
              <c:y val="7.7704149989196392E-2"/>
            </c:manualLayout>
          </c:layout>
          <c:overlay val="0"/>
        </c:title>
        <c:numFmt formatCode="0%" sourceLinked="0"/>
        <c:majorTickMark val="out"/>
        <c:minorTickMark val="none"/>
        <c:tickLblPos val="nextTo"/>
        <c:txPr>
          <a:bodyPr/>
          <a:lstStyle/>
          <a:p>
            <a:pPr>
              <a:defRPr sz="1400" b="0" i="0">
                <a:latin typeface="Arial"/>
              </a:defRPr>
            </a:pPr>
            <a:endParaRPr lang="fr-FR"/>
          </a:p>
        </c:txPr>
        <c:crossAx val="634639400"/>
        <c:crosses val="autoZero"/>
        <c:crossBetween val="between"/>
        <c:majorUnit val="0.2"/>
      </c:valAx>
      <c:spPr>
        <a:noFill/>
        <a:ln w="28575">
          <a:solidFill>
            <a:schemeClr val="tx1"/>
          </a:solidFill>
        </a:ln>
      </c:spPr>
    </c:plotArea>
    <c:legend>
      <c:legendPos val="t"/>
      <c:layout>
        <c:manualLayout>
          <c:xMode val="edge"/>
          <c:yMode val="edge"/>
          <c:x val="0.28315516284333536"/>
          <c:y val="7.8691567873524798E-2"/>
          <c:w val="0.58718042921590829"/>
          <c:h val="5.9859473273938132E-2"/>
        </c:manualLayout>
      </c:layout>
      <c:overlay val="0"/>
      <c:spPr>
        <a:solidFill>
          <a:sysClr val="window" lastClr="FFFFFF"/>
        </a:solidFill>
        <a:ln w="15875">
          <a:solidFill>
            <a:schemeClr val="tx1"/>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50" b="1" baseline="0">
                <a:latin typeface="Arial" panose="020B0604020202020204" pitchFamily="34" charset="0"/>
                <a:cs typeface="Arial" panose="020B0604020202020204" pitchFamily="34" charset="0"/>
              </a:rPr>
              <a:t>Graph. 2. La participation européenne en perspective historique</a:t>
            </a:r>
          </a:p>
        </c:rich>
      </c:tx>
      <c:layout>
        <c:manualLayout>
          <c:xMode val="edge"/>
          <c:yMode val="edge"/>
          <c:x val="0.14363240422222107"/>
          <c:y val="2.2032367001758508E-3"/>
        </c:manualLayout>
      </c:layout>
      <c:overlay val="0"/>
      <c:spPr>
        <a:noFill/>
        <a:ln w="25400">
          <a:noFill/>
        </a:ln>
      </c:spPr>
    </c:title>
    <c:autoTitleDeleted val="0"/>
    <c:plotArea>
      <c:layout>
        <c:manualLayout>
          <c:layoutTarget val="inner"/>
          <c:xMode val="edge"/>
          <c:yMode val="edge"/>
          <c:x val="9.4599650532948762E-2"/>
          <c:y val="6.1185586148772404E-2"/>
          <c:w val="0.87198296434755418"/>
          <c:h val="0.71944288471646101"/>
        </c:manualLayout>
      </c:layout>
      <c:lineChart>
        <c:grouping val="standard"/>
        <c:varyColors val="0"/>
        <c:ser>
          <c:idx val="1"/>
          <c:order val="0"/>
          <c:tx>
            <c:v>Elections législatives</c:v>
          </c:tx>
          <c:spPr>
            <a:ln w="50800">
              <a:solidFill>
                <a:srgbClr val="FF0000"/>
              </a:solidFill>
            </a:ln>
          </c:spPr>
          <c:marker>
            <c:symbol val="triangle"/>
            <c:size val="13"/>
            <c:spPr>
              <a:solidFill>
                <a:srgbClr val="FF0000"/>
              </a:solidFill>
              <a:ln>
                <a:solidFill>
                  <a:srgbClr val="FF0000"/>
                </a:solidFill>
              </a:ln>
            </c:spPr>
          </c:marker>
          <c:cat>
            <c:numRef>
              <c:f>Data1!$A$6:$A$250</c:f>
              <c:numCache>
                <c:formatCode>General</c:formatCode>
                <c:ptCount val="245"/>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pt idx="236">
                  <c:v>2016</c:v>
                </c:pt>
                <c:pt idx="237">
                  <c:v>2017</c:v>
                </c:pt>
                <c:pt idx="238">
                  <c:v>2018</c:v>
                </c:pt>
                <c:pt idx="239">
                  <c:v>2019</c:v>
                </c:pt>
                <c:pt idx="240">
                  <c:v>2020</c:v>
                </c:pt>
                <c:pt idx="241">
                  <c:v>2021</c:v>
                </c:pt>
                <c:pt idx="242">
                  <c:v>2022</c:v>
                </c:pt>
                <c:pt idx="243">
                  <c:v>2023</c:v>
                </c:pt>
                <c:pt idx="244">
                  <c:v>2024</c:v>
                </c:pt>
              </c:numCache>
            </c:numRef>
          </c:cat>
          <c:val>
            <c:numRef>
              <c:f>Data1!$P$6:$P$250</c:f>
              <c:numCache>
                <c:formatCode>0%</c:formatCode>
                <c:ptCount val="245"/>
                <c:pt idx="9">
                  <c:v>0.35</c:v>
                </c:pt>
                <c:pt idx="11">
                  <c:v>0.28000000000000003</c:v>
                </c:pt>
                <c:pt idx="12">
                  <c:v>0.24</c:v>
                </c:pt>
                <c:pt idx="13">
                  <c:v>0.37</c:v>
                </c:pt>
                <c:pt idx="15">
                  <c:v>0.22</c:v>
                </c:pt>
                <c:pt idx="17">
                  <c:v>0.25</c:v>
                </c:pt>
                <c:pt idx="18">
                  <c:v>0.21</c:v>
                </c:pt>
                <c:pt idx="68">
                  <c:v>0.83398536567452908</c:v>
                </c:pt>
                <c:pt idx="69">
                  <c:v>0.68109332096741881</c:v>
                </c:pt>
                <c:pt idx="72">
                  <c:v>0.63267139031417408</c:v>
                </c:pt>
                <c:pt idx="77">
                  <c:v>0.64623979368057238</c:v>
                </c:pt>
                <c:pt idx="83">
                  <c:v>0.72894297134397368</c:v>
                </c:pt>
                <c:pt idx="89">
                  <c:v>0.80802202616223429</c:v>
                </c:pt>
                <c:pt idx="91">
                  <c:v>0.62991159654160356</c:v>
                </c:pt>
                <c:pt idx="96">
                  <c:v>0.75973607120682018</c:v>
                </c:pt>
                <c:pt idx="97">
                  <c:v>0.81394625426996925</c:v>
                </c:pt>
                <c:pt idx="101">
                  <c:v>0.68617842756365177</c:v>
                </c:pt>
                <c:pt idx="105">
                  <c:v>0.77507026390600076</c:v>
                </c:pt>
                <c:pt idx="109">
                  <c:v>0.76630134195184929</c:v>
                </c:pt>
                <c:pt idx="113">
                  <c:v>0.70768557894583339</c:v>
                </c:pt>
                <c:pt idx="118">
                  <c:v>0.75875362075059671</c:v>
                </c:pt>
                <c:pt idx="122">
                  <c:v>0.78576142708773022</c:v>
                </c:pt>
                <c:pt idx="126">
                  <c:v>0.78523500749041153</c:v>
                </c:pt>
                <c:pt idx="130">
                  <c:v>0.77240722896048319</c:v>
                </c:pt>
                <c:pt idx="134">
                  <c:v>0.76766161130034127</c:v>
                </c:pt>
                <c:pt idx="139">
                  <c:v>0.71102332962186277</c:v>
                </c:pt>
                <c:pt idx="144">
                  <c:v>0.83020034301574208</c:v>
                </c:pt>
                <c:pt idx="148">
                  <c:v>0.83859036223113659</c:v>
                </c:pt>
                <c:pt idx="152">
                  <c:v>0.83450107150918951</c:v>
                </c:pt>
                <c:pt idx="156">
                  <c:v>0.84203429008479802</c:v>
                </c:pt>
                <c:pt idx="165">
                  <c:v>0.79843533731005911</c:v>
                </c:pt>
                <c:pt idx="166">
                  <c:v>0.81724817229391133</c:v>
                </c:pt>
                <c:pt idx="167">
                  <c:v>0.78058089314783352</c:v>
                </c:pt>
                <c:pt idx="171">
                  <c:v>0.80530092483372939</c:v>
                </c:pt>
                <c:pt idx="176">
                  <c:v>0.82715371378659275</c:v>
                </c:pt>
                <c:pt idx="178">
                  <c:v>0.77175013653072577</c:v>
                </c:pt>
                <c:pt idx="182">
                  <c:v>0.68691649543555366</c:v>
                </c:pt>
                <c:pt idx="187">
                  <c:v>0.81111623880051309</c:v>
                </c:pt>
                <c:pt idx="188">
                  <c:v>0.79961453611598909</c:v>
                </c:pt>
                <c:pt idx="193">
                  <c:v>0.81288158341292516</c:v>
                </c:pt>
                <c:pt idx="198">
                  <c:v>0.83251819307528974</c:v>
                </c:pt>
                <c:pt idx="201">
                  <c:v>0.70856474608041953</c:v>
                </c:pt>
                <c:pt idx="206">
                  <c:v>0.78496117053314074</c:v>
                </c:pt>
                <c:pt idx="208">
                  <c:v>0.66128524346895801</c:v>
                </c:pt>
                <c:pt idx="213">
                  <c:v>0.69307948785476725</c:v>
                </c:pt>
                <c:pt idx="217">
                  <c:v>0.6846596807435209</c:v>
                </c:pt>
                <c:pt idx="222">
                  <c:v>0.65127002128353706</c:v>
                </c:pt>
                <c:pt idx="227">
                  <c:v>0.60984877350012112</c:v>
                </c:pt>
                <c:pt idx="232">
                  <c:v>0.58740249007705614</c:v>
                </c:pt>
                <c:pt idx="237">
                  <c:v>0.50218505442891836</c:v>
                </c:pt>
                <c:pt idx="242">
                  <c:v>0.49036494550687049</c:v>
                </c:pt>
              </c:numCache>
            </c:numRef>
          </c:val>
          <c:smooth val="0"/>
        </c:ser>
        <c:ser>
          <c:idx val="0"/>
          <c:order val="1"/>
          <c:tx>
            <c:v>Elections présidentielles</c:v>
          </c:tx>
          <c:spPr>
            <a:ln w="50800">
              <a:solidFill>
                <a:srgbClr val="00B050"/>
              </a:solidFill>
            </a:ln>
          </c:spPr>
          <c:marker>
            <c:spPr>
              <a:solidFill>
                <a:srgbClr val="00B050"/>
              </a:solidFill>
              <a:ln>
                <a:solidFill>
                  <a:srgbClr val="00B050"/>
                </a:solidFill>
              </a:ln>
            </c:spPr>
          </c:marker>
          <c:val>
            <c:numRef>
              <c:f>Data1!$V$6:$V$250</c:f>
              <c:numCache>
                <c:formatCode>General</c:formatCode>
                <c:ptCount val="245"/>
                <c:pt idx="68" formatCode="0%">
                  <c:v>0.74800158758964874</c:v>
                </c:pt>
                <c:pt idx="185" formatCode="0%">
                  <c:v>0.85017722595473255</c:v>
                </c:pt>
                <c:pt idx="189" formatCode="0%">
                  <c:v>0.78234303384020043</c:v>
                </c:pt>
                <c:pt idx="194" formatCode="0%">
                  <c:v>0.84897619458514273</c:v>
                </c:pt>
                <c:pt idx="201" formatCode="0%">
                  <c:v>0.81480184527351185</c:v>
                </c:pt>
                <c:pt idx="208" formatCode="0%">
                  <c:v>0.82017160475299633</c:v>
                </c:pt>
                <c:pt idx="215" formatCode="0%">
                  <c:v>0.79483942265397423</c:v>
                </c:pt>
                <c:pt idx="222" formatCode="0%">
                  <c:v>0.72844768380467995</c:v>
                </c:pt>
                <c:pt idx="227" formatCode="0%">
                  <c:v>0.85333843804404852</c:v>
                </c:pt>
                <c:pt idx="232" formatCode="0%">
                  <c:v>0.81372785061052277</c:v>
                </c:pt>
                <c:pt idx="237" formatCode="0%">
                  <c:v>0.80018545033865152</c:v>
                </c:pt>
                <c:pt idx="242" formatCode="0%">
                  <c:v>0.76190959085595844</c:v>
                </c:pt>
              </c:numCache>
            </c:numRef>
          </c:val>
          <c:smooth val="0"/>
        </c:ser>
        <c:ser>
          <c:idx val="2"/>
          <c:order val="2"/>
          <c:tx>
            <c:v>Elections municipales</c:v>
          </c:tx>
          <c:spPr>
            <a:ln w="50800">
              <a:solidFill>
                <a:srgbClr val="00B0F0"/>
              </a:solidFill>
            </a:ln>
          </c:spPr>
          <c:marker>
            <c:symbol val="square"/>
            <c:size val="10"/>
            <c:spPr>
              <a:solidFill>
                <a:srgbClr val="00B0F0"/>
              </a:solidFill>
              <a:ln>
                <a:solidFill>
                  <a:srgbClr val="00B0F0"/>
                </a:solidFill>
              </a:ln>
            </c:spPr>
          </c:marker>
          <c:val>
            <c:numRef>
              <c:f>Data1!$AK$6:$AK$250</c:f>
              <c:numCache>
                <c:formatCode>0%</c:formatCode>
                <c:ptCount val="245"/>
                <c:pt idx="167">
                  <c:v>0.76800000000000002</c:v>
                </c:pt>
                <c:pt idx="173">
                  <c:v>0.79600000000000004</c:v>
                </c:pt>
                <c:pt idx="179">
                  <c:v>0.748</c:v>
                </c:pt>
                <c:pt idx="185">
                  <c:v>0.78200000000000003</c:v>
                </c:pt>
                <c:pt idx="191">
                  <c:v>0.752</c:v>
                </c:pt>
                <c:pt idx="197">
                  <c:v>0.78900000000000003</c:v>
                </c:pt>
                <c:pt idx="203">
                  <c:v>0.78359999999999996</c:v>
                </c:pt>
                <c:pt idx="209">
                  <c:v>0.72809999999999997</c:v>
                </c:pt>
                <c:pt idx="215">
                  <c:v>0.69399999999999995</c:v>
                </c:pt>
                <c:pt idx="221">
                  <c:v>0.61460000000000004</c:v>
                </c:pt>
                <c:pt idx="228">
                  <c:v>0.61050000000000004</c:v>
                </c:pt>
                <c:pt idx="234">
                  <c:v>0.63549999999999995</c:v>
                </c:pt>
                <c:pt idx="240">
                  <c:v>0.4466</c:v>
                </c:pt>
              </c:numCache>
            </c:numRef>
          </c:val>
          <c:smooth val="0"/>
        </c:ser>
        <c:ser>
          <c:idx val="4"/>
          <c:order val="3"/>
          <c:tx>
            <c:v>Elections régionales</c:v>
          </c:tx>
          <c:spPr>
            <a:ln w="50800">
              <a:solidFill>
                <a:srgbClr val="7030A0"/>
              </a:solidFill>
            </a:ln>
          </c:spPr>
          <c:marker>
            <c:symbol val="circle"/>
            <c:size val="10"/>
            <c:spPr>
              <a:solidFill>
                <a:srgbClr val="7030A0"/>
              </a:solidFill>
              <a:ln>
                <a:solidFill>
                  <a:srgbClr val="7030A0"/>
                </a:solidFill>
              </a:ln>
            </c:spPr>
          </c:marker>
          <c:val>
            <c:numRef>
              <c:f>Data1!$AL$6:$AL$250</c:f>
              <c:numCache>
                <c:formatCode>0%</c:formatCode>
                <c:ptCount val="245"/>
                <c:pt idx="206">
                  <c:v>0.74829999999999997</c:v>
                </c:pt>
                <c:pt idx="212">
                  <c:v>0.68630000000000002</c:v>
                </c:pt>
                <c:pt idx="218">
                  <c:v>0.58030000000000004</c:v>
                </c:pt>
                <c:pt idx="224">
                  <c:v>0.60840000000000005</c:v>
                </c:pt>
                <c:pt idx="230">
                  <c:v>0.46329999999999999</c:v>
                </c:pt>
                <c:pt idx="235">
                  <c:v>0.49909999999999999</c:v>
                </c:pt>
                <c:pt idx="241">
                  <c:v>0.33279999999999998</c:v>
                </c:pt>
              </c:numCache>
            </c:numRef>
          </c:val>
          <c:smooth val="0"/>
        </c:ser>
        <c:ser>
          <c:idx val="3"/>
          <c:order val="4"/>
          <c:tx>
            <c:v>Elections européennes</c:v>
          </c:tx>
          <c:spPr>
            <a:ln w="50800">
              <a:solidFill>
                <a:srgbClr val="FFC000"/>
              </a:solidFill>
            </a:ln>
          </c:spPr>
          <c:marker>
            <c:symbol val="diamond"/>
            <c:size val="11"/>
            <c:spPr>
              <a:solidFill>
                <a:srgbClr val="FFC000"/>
              </a:solidFill>
              <a:ln>
                <a:solidFill>
                  <a:srgbClr val="FFC000"/>
                </a:solidFill>
              </a:ln>
            </c:spPr>
          </c:marker>
          <c:val>
            <c:numRef>
              <c:f>Data1!$AM$6:$AM$250</c:f>
              <c:numCache>
                <c:formatCode>0%</c:formatCode>
                <c:ptCount val="245"/>
                <c:pt idx="199">
                  <c:v>0.60709999999999997</c:v>
                </c:pt>
                <c:pt idx="204">
                  <c:v>0.56720000000000004</c:v>
                </c:pt>
                <c:pt idx="209">
                  <c:v>0.48799999999999999</c:v>
                </c:pt>
                <c:pt idx="214">
                  <c:v>0.53843365978557989</c:v>
                </c:pt>
                <c:pt idx="219">
                  <c:v>0.47784811666451499</c:v>
                </c:pt>
                <c:pt idx="224">
                  <c:v>0.43454805141320663</c:v>
                </c:pt>
                <c:pt idx="229">
                  <c:v>0.41490091753716196</c:v>
                </c:pt>
                <c:pt idx="234">
                  <c:v>0.44399601238407238</c:v>
                </c:pt>
                <c:pt idx="239">
                  <c:v>0.52294284700771543</c:v>
                </c:pt>
                <c:pt idx="244">
                  <c:v>0.5423765876293456</c:v>
                </c:pt>
              </c:numCache>
            </c:numRef>
          </c:val>
          <c:smooth val="0"/>
        </c:ser>
        <c:dLbls>
          <c:showLegendKey val="0"/>
          <c:showVal val="0"/>
          <c:showCatName val="0"/>
          <c:showSerName val="0"/>
          <c:showPercent val="0"/>
          <c:showBubbleSize val="0"/>
        </c:dLbls>
        <c:marker val="1"/>
        <c:smooth val="0"/>
        <c:axId val="634611960"/>
        <c:axId val="634612352"/>
      </c:lineChart>
      <c:catAx>
        <c:axId val="6346119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2352"/>
        <c:crossesAt val="0"/>
        <c:auto val="1"/>
        <c:lblAlgn val="ctr"/>
        <c:lblOffset val="100"/>
        <c:tickLblSkip val="20"/>
        <c:tickMarkSkip val="10"/>
        <c:noMultiLvlLbl val="0"/>
      </c:catAx>
      <c:valAx>
        <c:axId val="634612352"/>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Participation</a:t>
                </a:r>
                <a:r>
                  <a:rPr lang="fr-FR" sz="1200" baseline="0"/>
                  <a:t> électorale (n</a:t>
                </a:r>
                <a:r>
                  <a:rPr lang="fr-FR" sz="1200"/>
                  <a:t>ombre</a:t>
                </a:r>
                <a:r>
                  <a:rPr lang="fr-FR" sz="1200" baseline="0"/>
                  <a:t> de votants/nombre d'inscrits)</a:t>
                </a:r>
                <a:endParaRPr lang="fr-FR" sz="1200"/>
              </a:p>
            </c:rich>
          </c:tx>
          <c:layout>
            <c:manualLayout>
              <c:xMode val="edge"/>
              <c:yMode val="edge"/>
              <c:x val="1.3919222470347387E-3"/>
              <c:y val="5.9107202814940182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1960"/>
        <c:crosses val="autoZero"/>
        <c:crossBetween val="midCat"/>
        <c:majorUnit val="0.1"/>
      </c:valAx>
      <c:spPr>
        <a:noFill/>
        <a:ln w="25400">
          <a:solidFill>
            <a:schemeClr val="tx1"/>
          </a:solidFill>
        </a:ln>
      </c:spPr>
    </c:plotArea>
    <c:legend>
      <c:legendPos val="l"/>
      <c:layout>
        <c:manualLayout>
          <c:xMode val="edge"/>
          <c:yMode val="edge"/>
          <c:x val="0.36509942159468206"/>
          <c:y val="0.38264686638650219"/>
          <c:w val="0.27985312204914103"/>
          <c:h val="0.28690527184735926"/>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1800" baseline="0"/>
              <a:t>Graph. 20. Tripartition et clivage territorial </a:t>
            </a:r>
            <a:r>
              <a:rPr lang="fr-FR" sz="1600" b="0" baseline="0"/>
              <a:t>(européennes 2024)</a:t>
            </a:r>
            <a:endParaRPr lang="fr-FR" sz="1600" b="0"/>
          </a:p>
        </c:rich>
      </c:tx>
      <c:layout>
        <c:manualLayout>
          <c:xMode val="edge"/>
          <c:yMode val="edge"/>
          <c:x val="0.20053222172438839"/>
          <c:y val="4.5202089006344502E-3"/>
        </c:manualLayout>
      </c:layout>
      <c:overlay val="0"/>
    </c:title>
    <c:autoTitleDeleted val="0"/>
    <c:plotArea>
      <c:layout>
        <c:manualLayout>
          <c:layoutTarget val="inner"/>
          <c:xMode val="edge"/>
          <c:yMode val="edge"/>
          <c:x val="0.11351316369094558"/>
          <c:y val="5.9987220890766878E-2"/>
          <c:w val="0.872547409409551"/>
          <c:h val="0.70207306344799125"/>
        </c:manualLayout>
      </c:layout>
      <c:barChart>
        <c:barDir val="col"/>
        <c:grouping val="clustered"/>
        <c:varyColors val="0"/>
        <c:ser>
          <c:idx val="0"/>
          <c:order val="0"/>
          <c:tx>
            <c:v>Villages</c:v>
          </c:tx>
          <c:spPr>
            <a:solidFill>
              <a:srgbClr val="00B050"/>
            </a:solidFill>
            <a:ln>
              <a:solidFill>
                <a:srgbClr val="00B050"/>
              </a:solidFill>
            </a:ln>
          </c:spPr>
          <c:invertIfNegative val="0"/>
          <c:cat>
            <c:strLit>
              <c:ptCount val="3"/>
              <c:pt idx="0">
                <c:v>Bloc social-écologique                  (PS, EELV, LFI, PCF)</c:v>
              </c:pt>
              <c:pt idx="1">
                <c:v>Bloc libéral-progressiste (Ensemble, Modem, UDI)</c:v>
              </c:pt>
              <c:pt idx="2">
                <c:v>Bloc national-libéral                (RN, Reconquête, LR)</c:v>
              </c:pt>
            </c:strLit>
          </c:cat>
          <c:val>
            <c:numLit>
              <c:formatCode>0%</c:formatCode>
              <c:ptCount val="3"/>
              <c:pt idx="0">
                <c:v>0.79242169663482975</c:v>
              </c:pt>
              <c:pt idx="1">
                <c:v>0.94362496160550047</c:v>
              </c:pt>
              <c:pt idx="2">
                <c:v>1.1695889287098231</c:v>
              </c:pt>
            </c:numLit>
          </c:val>
          <c:extLst/>
        </c:ser>
        <c:ser>
          <c:idx val="1"/>
          <c:order val="1"/>
          <c:tx>
            <c:v>Bourgs</c:v>
          </c:tx>
          <c:spPr>
            <a:solidFill>
              <a:srgbClr val="00B0F0"/>
            </a:solidFill>
            <a:ln>
              <a:solidFill>
                <a:srgbClr val="00B0F0"/>
              </a:solidFill>
            </a:ln>
          </c:spPr>
          <c:invertIfNegative val="0"/>
          <c:cat>
            <c:strLit>
              <c:ptCount val="3"/>
              <c:pt idx="0">
                <c:v>Bloc social-écologique                  (PS, EELV, LFI, PCF)</c:v>
              </c:pt>
              <c:pt idx="1">
                <c:v>Bloc libéral-progressiste (Ensemble, Modem, UDI)</c:v>
              </c:pt>
              <c:pt idx="2">
                <c:v>Bloc national-libéral                (RN, Reconquête, LR)</c:v>
              </c:pt>
            </c:strLit>
          </c:cat>
          <c:val>
            <c:numLit>
              <c:formatCode>0%</c:formatCode>
              <c:ptCount val="3"/>
              <c:pt idx="0">
                <c:v>0.8882250280318279</c:v>
              </c:pt>
              <c:pt idx="1">
                <c:v>1.0254983804585989</c:v>
              </c:pt>
              <c:pt idx="2">
                <c:v>1.0727622661585432</c:v>
              </c:pt>
            </c:numLit>
          </c:val>
        </c:ser>
        <c:ser>
          <c:idx val="3"/>
          <c:order val="2"/>
          <c:tx>
            <c:v>Banlieues</c:v>
          </c:tx>
          <c:spPr>
            <a:solidFill>
              <a:srgbClr val="FF0000"/>
            </a:solidFill>
            <a:ln>
              <a:solidFill>
                <a:srgbClr val="FF0000"/>
              </a:solidFill>
            </a:ln>
          </c:spPr>
          <c:invertIfNegative val="0"/>
          <c:cat>
            <c:strLit>
              <c:ptCount val="3"/>
              <c:pt idx="0">
                <c:v>Bloc social-écologique                  (PS, EELV, LFI, PCF)</c:v>
              </c:pt>
              <c:pt idx="1">
                <c:v>Bloc libéral-progressiste (Ensemble, Modem, UDI)</c:v>
              </c:pt>
              <c:pt idx="2">
                <c:v>Bloc national-libéral                (RN, Reconquête, LR)</c:v>
              </c:pt>
            </c:strLit>
          </c:cat>
          <c:val>
            <c:numLit>
              <c:formatCode>0%</c:formatCode>
              <c:ptCount val="3"/>
              <c:pt idx="0">
                <c:v>1.1127176688326601</c:v>
              </c:pt>
              <c:pt idx="1">
                <c:v>1.0101578501075046</c:v>
              </c:pt>
              <c:pt idx="2">
                <c:v>0.91470668818858447</c:v>
              </c:pt>
            </c:numLit>
          </c:val>
        </c:ser>
        <c:ser>
          <c:idx val="4"/>
          <c:order val="3"/>
          <c:tx>
            <c:v>Métropoles</c:v>
          </c:tx>
          <c:spPr>
            <a:solidFill>
              <a:srgbClr val="FFC000"/>
            </a:solidFill>
            <a:ln>
              <a:solidFill>
                <a:srgbClr val="FFC000"/>
              </a:solidFill>
            </a:ln>
          </c:spPr>
          <c:invertIfNegative val="0"/>
          <c:cat>
            <c:strLit>
              <c:ptCount val="3"/>
              <c:pt idx="0">
                <c:v>Bloc social-écologique                  (PS, EELV, LFI, PCF)</c:v>
              </c:pt>
              <c:pt idx="1">
                <c:v>Bloc libéral-progressiste (Ensemble, Modem, UDI)</c:v>
              </c:pt>
              <c:pt idx="2">
                <c:v>Bloc national-libéral                (RN, Reconquête, LR)</c:v>
              </c:pt>
            </c:strLit>
          </c:cat>
          <c:val>
            <c:numLit>
              <c:formatCode>0%</c:formatCode>
              <c:ptCount val="3"/>
              <c:pt idx="0">
                <c:v>1.3902756575658917</c:v>
              </c:pt>
              <c:pt idx="1">
                <c:v>1.0046309815305603</c:v>
              </c:pt>
              <c:pt idx="2">
                <c:v>0.7148249953287702</c:v>
              </c:pt>
            </c:numLit>
          </c:val>
        </c:ser>
        <c:dLbls>
          <c:showLegendKey val="0"/>
          <c:showVal val="0"/>
          <c:showCatName val="0"/>
          <c:showSerName val="0"/>
          <c:showPercent val="0"/>
          <c:showBubbleSize val="0"/>
        </c:dLbls>
        <c:gapWidth val="50"/>
        <c:axId val="634635480"/>
        <c:axId val="634641752"/>
        <c:extLst>
          <c:ext xmlns:c15="http://schemas.microsoft.com/office/drawing/2012/chart" uri="{02D57815-91ED-43cb-92C2-25804820EDAC}">
            <c15:filteredBarSeries>
              <c15:ser>
                <c:idx val="2"/>
                <c:order val="4"/>
                <c:tx>
                  <c:v>Total</c:v>
                </c:tx>
                <c:spPr>
                  <a:solidFill>
                    <a:schemeClr val="tx1"/>
                  </a:solidFill>
                  <a:ln>
                    <a:solidFill>
                      <a:schemeClr val="tx1"/>
                    </a:solidFill>
                  </a:ln>
                </c:spPr>
                <c:invertIfNegative val="0"/>
                <c:cat>
                  <c:strLit>
                    <c:ptCount val="3"/>
                    <c:pt idx="0">
                      <c:v>Bloc social-écologique                  (PS, EELV, LFI, PCF)</c:v>
                    </c:pt>
                    <c:pt idx="1">
                      <c:v>Bloc libéral-progressiste (Ensemble, Modem, UDI)</c:v>
                    </c:pt>
                    <c:pt idx="2">
                      <c:v>Bloc national-libéral                (RN, Reconquête, LR)</c:v>
                    </c:pt>
                  </c:strLit>
                </c:cat>
                <c:val>
                  <c:numLit>
                    <c:formatCode>0%</c:formatCode>
                    <c:ptCount val="3"/>
                    <c:pt idx="0">
                      <c:v>1</c:v>
                    </c:pt>
                    <c:pt idx="1">
                      <c:v>1</c:v>
                    </c:pt>
                    <c:pt idx="2">
                      <c:v>1</c:v>
                    </c:pt>
                  </c:numLit>
                </c:val>
              </c15:ser>
            </c15:filteredBarSeries>
          </c:ext>
        </c:extLst>
      </c:barChart>
      <c:catAx>
        <c:axId val="634635480"/>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4641752"/>
        <c:crosses val="autoZero"/>
        <c:auto val="1"/>
        <c:lblAlgn val="ctr"/>
        <c:lblOffset val="100"/>
        <c:tickLblSkip val="1"/>
        <c:noMultiLvlLbl val="0"/>
      </c:catAx>
      <c:valAx>
        <c:axId val="634641752"/>
        <c:scaling>
          <c:orientation val="minMax"/>
          <c:max val="1.6"/>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Pourcentage</a:t>
                </a:r>
                <a:r>
                  <a:rPr lang="fr-FR" sz="1200" b="0" baseline="0">
                    <a:latin typeface="Arial" panose="020B0604020202020204" pitchFamily="34" charset="0"/>
                    <a:cs typeface="Arial" panose="020B0604020202020204" pitchFamily="34" charset="0"/>
                  </a:rPr>
                  <a:t> des voix pour les différents courants </a:t>
                </a:r>
              </a:p>
              <a:p>
                <a:pPr>
                  <a:defRPr sz="1200" b="0">
                    <a:latin typeface="Arial Narrow" panose="020B0606020202030204" pitchFamily="34" charset="0"/>
                    <a:cs typeface="Arial" panose="020B0604020202020204" pitchFamily="34" charset="0"/>
                  </a:defRPr>
                </a:pPr>
                <a:r>
                  <a:rPr lang="fr-FR" sz="1200" b="0" baseline="0">
                    <a:latin typeface="Arial" panose="020B0604020202020204" pitchFamily="34" charset="0"/>
                    <a:cs typeface="Arial" panose="020B0604020202020204" pitchFamily="34" charset="0"/>
                  </a:rPr>
                  <a:t>(% moyenne nationale)</a:t>
                </a:r>
                <a:endParaRPr lang="fr-FR" sz="1200" b="0">
                  <a:latin typeface="Arial" panose="020B0604020202020204" pitchFamily="34" charset="0"/>
                  <a:cs typeface="Arial" panose="020B0604020202020204" pitchFamily="34" charset="0"/>
                </a:endParaRPr>
              </a:p>
            </c:rich>
          </c:tx>
          <c:layout>
            <c:manualLayout>
              <c:xMode val="edge"/>
              <c:yMode val="edge"/>
              <c:x val="1.3786389814930632E-3"/>
              <c:y val="7.7704149989196392E-2"/>
            </c:manualLayout>
          </c:layout>
          <c:overlay val="0"/>
        </c:title>
        <c:numFmt formatCode="0%" sourceLinked="0"/>
        <c:majorTickMark val="out"/>
        <c:minorTickMark val="none"/>
        <c:tickLblPos val="nextTo"/>
        <c:txPr>
          <a:bodyPr/>
          <a:lstStyle/>
          <a:p>
            <a:pPr>
              <a:defRPr sz="1400" b="0" i="0">
                <a:latin typeface="Arial"/>
              </a:defRPr>
            </a:pPr>
            <a:endParaRPr lang="fr-FR"/>
          </a:p>
        </c:txPr>
        <c:crossAx val="634635480"/>
        <c:crosses val="autoZero"/>
        <c:crossBetween val="between"/>
        <c:majorUnit val="0.2"/>
      </c:valAx>
      <c:spPr>
        <a:noFill/>
        <a:ln w="28575">
          <a:solidFill>
            <a:schemeClr val="tx1"/>
          </a:solidFill>
        </a:ln>
      </c:spPr>
    </c:plotArea>
    <c:legend>
      <c:legendPos val="t"/>
      <c:layout>
        <c:manualLayout>
          <c:xMode val="edge"/>
          <c:yMode val="edge"/>
          <c:x val="0.29420544250231234"/>
          <c:y val="7.4065727438165863E-2"/>
          <c:w val="0.58718042921590829"/>
          <c:h val="5.9859473273938132E-2"/>
        </c:manualLayout>
      </c:layout>
      <c:overlay val="0"/>
      <c:spPr>
        <a:solidFill>
          <a:sysClr val="window" lastClr="FFFFFF"/>
        </a:solidFill>
        <a:ln w="15875">
          <a:solidFill>
            <a:schemeClr val="tx1"/>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fr-FR" sz="1800" b="1" baseline="0"/>
              <a:t>Graph. 21. Ecarts de vote à gauche par taille d'agglomération: l'envolée de la fracture territoriale lors des scrutins 1994-2024</a:t>
            </a:r>
            <a:endParaRPr lang="fr-FR" sz="1600" b="0"/>
          </a:p>
        </c:rich>
      </c:tx>
      <c:layout>
        <c:manualLayout>
          <c:xMode val="edge"/>
          <c:yMode val="edge"/>
          <c:x val="0.15444990930268404"/>
          <c:y val="2.2365868209192536E-3"/>
        </c:manualLayout>
      </c:layout>
      <c:overlay val="0"/>
    </c:title>
    <c:autoTitleDeleted val="0"/>
    <c:plotArea>
      <c:layout>
        <c:manualLayout>
          <c:layoutTarget val="inner"/>
          <c:xMode val="edge"/>
          <c:yMode val="edge"/>
          <c:x val="0.10575941377006234"/>
          <c:y val="9.9522082126091482E-2"/>
          <c:w val="0.85664917674277352"/>
          <c:h val="0.69459428442300608"/>
        </c:manualLayout>
      </c:layout>
      <c:lineChart>
        <c:grouping val="standard"/>
        <c:varyColors val="0"/>
        <c:ser>
          <c:idx val="0"/>
          <c:order val="0"/>
          <c:tx>
            <c:v>Les 5% les plus grandes/Les 5% les plus petites</c:v>
          </c:tx>
          <c:spPr>
            <a:ln w="50800">
              <a:solidFill>
                <a:srgbClr val="00B0F0"/>
              </a:solidFill>
            </a:ln>
          </c:spPr>
          <c:marker>
            <c:symbol val="circle"/>
            <c:size val="12"/>
            <c:spPr>
              <a:solidFill>
                <a:srgbClr val="00B0F0"/>
              </a:solidFill>
              <a:ln>
                <a:solidFill>
                  <a:srgbClr val="00B0F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1.0384178696844812</c:v>
              </c:pt>
              <c:pt idx="5" formatCode="0%">
                <c:v>1.1241041726706245</c:v>
              </c:pt>
              <c:pt idx="10" formatCode="0%">
                <c:v>1.0939102924425155</c:v>
              </c:pt>
              <c:pt idx="15" formatCode="0%">
                <c:v>1.1951821359492696</c:v>
              </c:pt>
              <c:pt idx="20" formatCode="0%">
                <c:v>1.3934513591875402</c:v>
              </c:pt>
              <c:pt idx="25" formatCode="0%">
                <c:v>1.4161859255163338</c:v>
              </c:pt>
              <c:pt idx="30" formatCode="0%">
                <c:v>1.9502440130523051</c:v>
              </c:pt>
            </c:numLit>
          </c:val>
          <c:smooth val="1"/>
        </c:ser>
        <c:ser>
          <c:idx val="2"/>
          <c:order val="1"/>
          <c:tx>
            <c:v>Les 10% les plus grandes/Les 10% les plus petites</c:v>
          </c:tx>
          <c:spPr>
            <a:ln w="50800">
              <a:solidFill>
                <a:srgbClr val="FFC000"/>
              </a:solidFill>
            </a:ln>
          </c:spPr>
          <c:marker>
            <c:symbol val="diamond"/>
            <c:size val="12"/>
            <c:spPr>
              <a:solidFill>
                <a:srgbClr val="FFC000"/>
              </a:solidFill>
              <a:ln>
                <a:solidFill>
                  <a:srgbClr val="FFC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1.0684438280694393</c:v>
              </c:pt>
              <c:pt idx="5" formatCode="0%">
                <c:v>1.1159827519770111</c:v>
              </c:pt>
              <c:pt idx="10" formatCode="0%">
                <c:v>1.0565440988921273</c:v>
              </c:pt>
              <c:pt idx="15" formatCode="0%">
                <c:v>1.1510658602784085</c:v>
              </c:pt>
              <c:pt idx="20" formatCode="0%">
                <c:v>1.3211551055146911</c:v>
              </c:pt>
              <c:pt idx="25" formatCode="0%">
                <c:v>1.3439008800133185</c:v>
              </c:pt>
              <c:pt idx="30" formatCode="0%">
                <c:v>1.8978782897579498</c:v>
              </c:pt>
            </c:numLit>
          </c:val>
          <c:smooth val="1"/>
        </c:ser>
        <c:ser>
          <c:idx val="1"/>
          <c:order val="2"/>
          <c:tx>
            <c:v>Les 20% les plus grandes/Les 20% les plus petites</c:v>
          </c:tx>
          <c:spPr>
            <a:ln w="50800">
              <a:solidFill>
                <a:srgbClr val="FF0000"/>
              </a:solidFill>
            </a:ln>
          </c:spPr>
          <c:marker>
            <c:symbol val="triangle"/>
            <c:size val="12"/>
            <c:spPr>
              <a:solidFill>
                <a:srgbClr val="FF0000"/>
              </a:solidFill>
              <a:ln>
                <a:solidFill>
                  <a:srgbClr val="FF0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1.0657532585997738</c:v>
              </c:pt>
              <c:pt idx="5" formatCode="0%">
                <c:v>1.0805160352649272</c:v>
              </c:pt>
              <c:pt idx="10" formatCode="0%">
                <c:v>1.0317358808605004</c:v>
              </c:pt>
              <c:pt idx="15" formatCode="0%">
                <c:v>1.0963386842855882</c:v>
              </c:pt>
              <c:pt idx="20" formatCode="0%">
                <c:v>1.197029286627715</c:v>
              </c:pt>
              <c:pt idx="25" formatCode="0%">
                <c:v>1.2439063173250868</c:v>
              </c:pt>
              <c:pt idx="30" formatCode="0%">
                <c:v>1.6898167116367941</c:v>
              </c:pt>
            </c:numLit>
          </c:val>
          <c:smooth val="1"/>
        </c:ser>
        <c:ser>
          <c:idx val="3"/>
          <c:order val="3"/>
          <c:tx>
            <c:v>Les 50% les plus grandes/Les 50% les plus petites</c:v>
          </c:tx>
          <c:spPr>
            <a:ln w="50800">
              <a:solidFill>
                <a:srgbClr val="00B050"/>
              </a:solidFill>
            </a:ln>
          </c:spPr>
          <c:marker>
            <c:symbol val="square"/>
            <c:size val="12"/>
            <c:spPr>
              <a:solidFill>
                <a:srgbClr val="00B050"/>
              </a:solidFill>
              <a:ln>
                <a:solidFill>
                  <a:srgbClr val="00B05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1.0466257162590691</c:v>
              </c:pt>
              <c:pt idx="5" formatCode="0%">
                <c:v>1.0655062877706518</c:v>
              </c:pt>
              <c:pt idx="10" formatCode="0%">
                <c:v>1.057866129602451</c:v>
              </c:pt>
              <c:pt idx="15" formatCode="0%">
                <c:v>1.0826451009085507</c:v>
              </c:pt>
              <c:pt idx="20" formatCode="0%">
                <c:v>1.1447327624943586</c:v>
              </c:pt>
              <c:pt idx="25" formatCode="0%">
                <c:v>1.1652398979251031</c:v>
              </c:pt>
              <c:pt idx="30" formatCode="0%">
                <c:v>1.4037474206306353</c:v>
              </c:pt>
            </c:numLit>
          </c:val>
          <c:smooth val="1"/>
        </c:ser>
        <c:ser>
          <c:idx val="4"/>
          <c:order val="4"/>
          <c:spPr>
            <a:ln w="50800">
              <a:solidFill>
                <a:sysClr val="windowText" lastClr="000000"/>
              </a:solidFill>
            </a:ln>
          </c:spPr>
          <c:marker>
            <c:symbol val="none"/>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numLit>
          </c:val>
          <c:smooth val="0"/>
        </c:ser>
        <c:dLbls>
          <c:showLegendKey val="0"/>
          <c:showVal val="0"/>
          <c:showCatName val="0"/>
          <c:showSerName val="0"/>
          <c:showPercent val="0"/>
          <c:showBubbleSize val="0"/>
        </c:dLbls>
        <c:marker val="1"/>
        <c:smooth val="0"/>
        <c:axId val="634640576"/>
        <c:axId val="634634696"/>
        <c:extLst/>
      </c:lineChart>
      <c:catAx>
        <c:axId val="6346405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34696"/>
        <c:crossesAt val="0"/>
        <c:auto val="1"/>
        <c:lblAlgn val="ctr"/>
        <c:lblOffset val="100"/>
        <c:tickLblSkip val="5"/>
        <c:tickMarkSkip val="5"/>
        <c:noMultiLvlLbl val="0"/>
      </c:catAx>
      <c:valAx>
        <c:axId val="634634696"/>
        <c:scaling>
          <c:orientation val="minMax"/>
          <c:max val="2"/>
          <c:min val="0.8"/>
        </c:scaling>
        <c:delete val="0"/>
        <c:axPos val="l"/>
        <c:majorGridlines>
          <c:spPr>
            <a:ln w="12700">
              <a:solidFill>
                <a:srgbClr val="000000"/>
              </a:solidFill>
              <a:prstDash val="sysDash"/>
            </a:ln>
          </c:spPr>
        </c:majorGridlines>
        <c:title>
          <c:tx>
            <c:rich>
              <a:bodyPr/>
              <a:lstStyle/>
              <a:p>
                <a:pPr>
                  <a:defRPr sz="1300"/>
                </a:pPr>
                <a:r>
                  <a:rPr lang="fr-FR" sz="1200">
                    <a:latin typeface="Arial Narrow" panose="020B0606020202030204" pitchFamily="34" charset="0"/>
                  </a:rPr>
                  <a:t>Ratio</a:t>
                </a:r>
                <a:r>
                  <a:rPr lang="fr-FR" sz="1200" baseline="0">
                    <a:latin typeface="Arial Narrow" panose="020B0606020202030204" pitchFamily="34" charset="0"/>
                  </a:rPr>
                  <a:t> entre le vote total à gauche des 50% des agglomérations les plus grandes</a:t>
                </a:r>
              </a:p>
              <a:p>
                <a:pPr>
                  <a:defRPr sz="1300"/>
                </a:pPr>
                <a:r>
                  <a:rPr lang="fr-FR" sz="1200" baseline="0">
                    <a:latin typeface="Arial Narrow" panose="020B0606020202030204" pitchFamily="34" charset="0"/>
                  </a:rPr>
                  <a:t>et les plus petites, des 20% les plus grandes et les plus petites, etc.</a:t>
                </a:r>
                <a:endParaRPr lang="fr-FR" sz="1200">
                  <a:latin typeface="Arial Narrow" panose="020B0606020202030204" pitchFamily="34" charset="0"/>
                </a:endParaRPr>
              </a:p>
            </c:rich>
          </c:tx>
          <c:layout>
            <c:manualLayout>
              <c:xMode val="edge"/>
              <c:yMode val="edge"/>
              <c:x val="3.1435666907673447E-5"/>
              <c:y val="1.5863908951133859E-2"/>
            </c:manualLayout>
          </c:layout>
          <c:overlay val="0"/>
        </c:title>
        <c:numFmt formatCode="#,##0.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40576"/>
        <c:crosses val="autoZero"/>
        <c:crossBetween val="midCat"/>
        <c:majorUnit val="0.1"/>
      </c:valAx>
      <c:spPr>
        <a:noFill/>
        <a:ln w="25400">
          <a:solidFill>
            <a:schemeClr val="tx1"/>
          </a:solidFill>
        </a:ln>
      </c:spPr>
    </c:plotArea>
    <c:legend>
      <c:legendPos val="l"/>
      <c:layout>
        <c:manualLayout>
          <c:xMode val="edge"/>
          <c:yMode val="edge"/>
          <c:x val="0.26354064310132341"/>
          <c:y val="0.15250424814902394"/>
          <c:w val="0.56220915846938757"/>
          <c:h val="0.16545619464758846"/>
        </c:manualLayout>
      </c:layout>
      <c:overlay val="1"/>
      <c:spPr>
        <a:solidFill>
          <a:schemeClr val="bg1"/>
        </a:solidFill>
        <a:ln w="254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fr-FR" sz="1800" b="1" baseline="0"/>
              <a:t>Graph. 22. Vote à gauche et taille d'agglomération: une fracture territoriale à son plus haut niveau depuis l'entre-deux-guerres</a:t>
            </a:r>
            <a:endParaRPr lang="fr-FR" sz="1600" b="0"/>
          </a:p>
        </c:rich>
      </c:tx>
      <c:layout>
        <c:manualLayout>
          <c:xMode val="edge"/>
          <c:yMode val="edge"/>
          <c:x val="0.14784095250313525"/>
          <c:y val="2.2365868209192536E-3"/>
        </c:manualLayout>
      </c:layout>
      <c:overlay val="0"/>
    </c:title>
    <c:autoTitleDeleted val="0"/>
    <c:plotArea>
      <c:layout>
        <c:manualLayout>
          <c:layoutTarget val="inner"/>
          <c:xMode val="edge"/>
          <c:yMode val="edge"/>
          <c:x val="0.10993356094304174"/>
          <c:y val="9.7269175033319083E-2"/>
          <c:w val="0.85664917674277352"/>
          <c:h val="0.71715283377637085"/>
        </c:manualLayout>
      </c:layout>
      <c:lineChart>
        <c:grouping val="standard"/>
        <c:varyColors val="0"/>
        <c:ser>
          <c:idx val="1"/>
          <c:order val="0"/>
          <c:tx>
            <c:v>Elections européennes 1994-2024</c:v>
          </c:tx>
          <c:spPr>
            <a:ln w="50800">
              <a:solidFill>
                <a:srgbClr val="FF0000"/>
              </a:solidFill>
            </a:ln>
          </c:spPr>
          <c:marker>
            <c:symbol val="triangle"/>
            <c:size val="12"/>
            <c:spPr>
              <a:solidFill>
                <a:srgbClr val="FF0000"/>
              </a:solidFill>
              <a:ln>
                <a:solidFill>
                  <a:srgbClr val="FF0000"/>
                </a:solidFill>
              </a:ln>
            </c:spPr>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General</c:formatCode>
              <c:ptCount val="185"/>
              <c:pt idx="154" formatCode="0%">
                <c:v>1.0466257162590691</c:v>
              </c:pt>
              <c:pt idx="159" formatCode="0%">
                <c:v>1.0655062877706518</c:v>
              </c:pt>
              <c:pt idx="164" formatCode="0%">
                <c:v>1.057866129602451</c:v>
              </c:pt>
              <c:pt idx="169" formatCode="0%">
                <c:v>1.0826451009085507</c:v>
              </c:pt>
              <c:pt idx="174" formatCode="0%">
                <c:v>1.1447327624943586</c:v>
              </c:pt>
              <c:pt idx="179" formatCode="0%">
                <c:v>1.1652398979251031</c:v>
              </c:pt>
              <c:pt idx="184" formatCode="0%">
                <c:v>1.4037474206306353</c:v>
              </c:pt>
            </c:numLit>
          </c:val>
          <c:smooth val="1"/>
        </c:ser>
        <c:ser>
          <c:idx val="3"/>
          <c:order val="1"/>
          <c:tx>
            <c:v>Elections législatives 1848-2022</c:v>
          </c:tx>
          <c:spPr>
            <a:ln w="50800">
              <a:solidFill>
                <a:srgbClr val="00B050"/>
              </a:solidFill>
            </a:ln>
          </c:spPr>
          <c:marker>
            <c:symbol val="square"/>
            <c:size val="8"/>
            <c:spPr>
              <a:solidFill>
                <a:srgbClr val="00B050"/>
              </a:solidFill>
              <a:ln>
                <a:solidFill>
                  <a:srgbClr val="00B050"/>
                </a:solidFill>
              </a:ln>
            </c:spPr>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General</c:formatCode>
              <c:ptCount val="185"/>
              <c:pt idx="8" formatCode="0%">
                <c:v>1.3164175975166892</c:v>
              </c:pt>
              <c:pt idx="9" formatCode="0%">
                <c:v>1.3051515489117249</c:v>
              </c:pt>
              <c:pt idx="31" formatCode="0%">
                <c:v>1.4427924083915891</c:v>
              </c:pt>
              <c:pt idx="32" formatCode="0%">
                <c:v>1.4908519745466298</c:v>
              </c:pt>
              <c:pt idx="36" formatCode="0%">
                <c:v>1.5418341061998488</c:v>
              </c:pt>
              <c:pt idx="41" formatCode="0%">
                <c:v>1.5133415436162199</c:v>
              </c:pt>
              <c:pt idx="45" formatCode="0%">
                <c:v>1.551087580764086</c:v>
              </c:pt>
              <c:pt idx="49" formatCode="0%">
                <c:v>1.2767896527321492</c:v>
              </c:pt>
              <c:pt idx="53" formatCode="0%">
                <c:v>1.3110253227435753</c:v>
              </c:pt>
              <c:pt idx="58" formatCode="0%">
                <c:v>1.3408021015696014</c:v>
              </c:pt>
              <c:pt idx="62" formatCode="0%">
                <c:v>1.2691924829322865</c:v>
              </c:pt>
              <c:pt idx="66" formatCode="0%">
                <c:v>1.2045702037708728</c:v>
              </c:pt>
              <c:pt idx="70" formatCode="0%">
                <c:v>1.1884675154094868</c:v>
              </c:pt>
              <c:pt idx="74" formatCode="0%">
                <c:v>1.1722637348105964</c:v>
              </c:pt>
              <c:pt idx="79" formatCode="0%">
                <c:v>1.2391275674632323</c:v>
              </c:pt>
              <c:pt idx="84" formatCode="0%">
                <c:v>1.446620184495268</c:v>
              </c:pt>
              <c:pt idx="88" formatCode="0%">
                <c:v>1.6455484220170025</c:v>
              </c:pt>
              <c:pt idx="92" formatCode="0%">
                <c:v>1.5969842078287093</c:v>
              </c:pt>
              <c:pt idx="96" formatCode="0%">
                <c:v>1.5318636571279238</c:v>
              </c:pt>
              <c:pt idx="105" formatCode="0%">
                <c:v>1.2348097425345683</c:v>
              </c:pt>
              <c:pt idx="106" formatCode="0%">
                <c:v>1.1954254789729186</c:v>
              </c:pt>
              <c:pt idx="107" formatCode="0%">
                <c:v>1.1598868424155258</c:v>
              </c:pt>
              <c:pt idx="111" formatCode="0%">
                <c:v>1.2116463542098337</c:v>
              </c:pt>
              <c:pt idx="116" formatCode="0%">
                <c:v>1.2388727373691573</c:v>
              </c:pt>
              <c:pt idx="118" formatCode="0%">
                <c:v>1.1336513708467557</c:v>
              </c:pt>
              <c:pt idx="122" formatCode="0%">
                <c:v>1.140839796495281</c:v>
              </c:pt>
              <c:pt idx="127" formatCode="0%">
                <c:v>1.1608124388779872</c:v>
              </c:pt>
              <c:pt idx="128" formatCode="0%">
                <c:v>1.1457299189429175</c:v>
              </c:pt>
              <c:pt idx="133" formatCode="0%">
                <c:v>1.1572892722371131</c:v>
              </c:pt>
              <c:pt idx="138" formatCode="0%">
                <c:v>1.1000452982744007</c:v>
              </c:pt>
              <c:pt idx="141" formatCode="0%">
                <c:v>1.0934375690947673</c:v>
              </c:pt>
              <c:pt idx="146" formatCode="0%">
                <c:v>1.027690673824915</c:v>
              </c:pt>
              <c:pt idx="148" formatCode="0%">
                <c:v>1.0286515059376962</c:v>
              </c:pt>
              <c:pt idx="153" formatCode="0%">
                <c:v>1.0844703338574579</c:v>
              </c:pt>
              <c:pt idx="157" formatCode="0%">
                <c:v>1.0542281241916569</c:v>
              </c:pt>
              <c:pt idx="162" formatCode="0%">
                <c:v>1.069794224378803</c:v>
              </c:pt>
              <c:pt idx="167" formatCode="0%">
                <c:v>1.0523828643662234</c:v>
              </c:pt>
              <c:pt idx="172" formatCode="0%">
                <c:v>1.0842691289828401</c:v>
              </c:pt>
              <c:pt idx="177" formatCode="0%">
                <c:v>1.1261749508228334</c:v>
              </c:pt>
              <c:pt idx="182" formatCode="0%">
                <c:v>1.2721138489123378</c:v>
              </c:pt>
            </c:numLit>
          </c:val>
          <c:smooth val="1"/>
        </c:ser>
        <c:ser>
          <c:idx val="4"/>
          <c:order val="2"/>
          <c:spPr>
            <a:ln w="50800">
              <a:solidFill>
                <a:sysClr val="windowText" lastClr="000000"/>
              </a:solidFill>
            </a:ln>
          </c:spPr>
          <c:marker>
            <c:symbol val="none"/>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0%</c:formatCode>
              <c:ptCount val="18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pt idx="101">
                <c:v>1</c:v>
              </c:pt>
              <c:pt idx="102">
                <c:v>1</c:v>
              </c:pt>
              <c:pt idx="103">
                <c:v>1</c:v>
              </c:pt>
              <c:pt idx="104">
                <c:v>1</c:v>
              </c:pt>
              <c:pt idx="105">
                <c:v>1</c:v>
              </c:pt>
              <c:pt idx="106">
                <c:v>1</c:v>
              </c:pt>
              <c:pt idx="107">
                <c:v>1</c:v>
              </c:pt>
              <c:pt idx="108">
                <c:v>1</c:v>
              </c:pt>
              <c:pt idx="109">
                <c:v>1</c:v>
              </c:pt>
              <c:pt idx="110">
                <c:v>1</c:v>
              </c:pt>
              <c:pt idx="111">
                <c:v>1</c:v>
              </c:pt>
              <c:pt idx="112">
                <c:v>1</c:v>
              </c:pt>
              <c:pt idx="113">
                <c:v>1</c:v>
              </c:pt>
              <c:pt idx="114">
                <c:v>1</c:v>
              </c:pt>
              <c:pt idx="115">
                <c:v>1</c:v>
              </c:pt>
              <c:pt idx="116">
                <c:v>1</c:v>
              </c:pt>
              <c:pt idx="117">
                <c:v>1</c:v>
              </c:pt>
              <c:pt idx="118">
                <c:v>1</c:v>
              </c:pt>
              <c:pt idx="119">
                <c:v>1</c:v>
              </c:pt>
              <c:pt idx="120">
                <c:v>1</c:v>
              </c:pt>
              <c:pt idx="121">
                <c:v>1</c:v>
              </c:pt>
              <c:pt idx="122">
                <c:v>1</c:v>
              </c:pt>
              <c:pt idx="123">
                <c:v>1</c:v>
              </c:pt>
              <c:pt idx="124">
                <c:v>1</c:v>
              </c:pt>
              <c:pt idx="125">
                <c:v>1</c:v>
              </c:pt>
              <c:pt idx="126">
                <c:v>1</c:v>
              </c:pt>
              <c:pt idx="127">
                <c:v>1</c:v>
              </c:pt>
              <c:pt idx="128">
                <c:v>1</c:v>
              </c:pt>
              <c:pt idx="129">
                <c:v>1</c:v>
              </c:pt>
              <c:pt idx="130">
                <c:v>1</c:v>
              </c:pt>
              <c:pt idx="131">
                <c:v>1</c:v>
              </c:pt>
              <c:pt idx="132">
                <c:v>1</c:v>
              </c:pt>
              <c:pt idx="133">
                <c:v>1</c:v>
              </c:pt>
              <c:pt idx="134">
                <c:v>1</c:v>
              </c:pt>
              <c:pt idx="135">
                <c:v>1</c:v>
              </c:pt>
              <c:pt idx="136">
                <c:v>1</c:v>
              </c:pt>
              <c:pt idx="137">
                <c:v>1</c:v>
              </c:pt>
              <c:pt idx="138">
                <c:v>1</c:v>
              </c:pt>
              <c:pt idx="139">
                <c:v>1</c:v>
              </c:pt>
              <c:pt idx="140">
                <c:v>1</c:v>
              </c:pt>
              <c:pt idx="141">
                <c:v>1</c:v>
              </c:pt>
              <c:pt idx="142">
                <c:v>1</c:v>
              </c:pt>
              <c:pt idx="143">
                <c:v>1</c:v>
              </c:pt>
              <c:pt idx="144">
                <c:v>1</c:v>
              </c:pt>
              <c:pt idx="145">
                <c:v>1</c:v>
              </c:pt>
              <c:pt idx="146">
                <c:v>1</c:v>
              </c:pt>
              <c:pt idx="147">
                <c:v>1</c:v>
              </c:pt>
              <c:pt idx="148">
                <c:v>1</c:v>
              </c:pt>
              <c:pt idx="149">
                <c:v>1</c:v>
              </c:pt>
              <c:pt idx="150">
                <c:v>1</c:v>
              </c:pt>
              <c:pt idx="151">
                <c:v>1</c:v>
              </c:pt>
              <c:pt idx="152">
                <c:v>1</c:v>
              </c:pt>
              <c:pt idx="153">
                <c:v>1</c:v>
              </c:pt>
              <c:pt idx="154">
                <c:v>1</c:v>
              </c:pt>
              <c:pt idx="155">
                <c:v>1</c:v>
              </c:pt>
              <c:pt idx="156">
                <c:v>1</c:v>
              </c:pt>
              <c:pt idx="157">
                <c:v>1</c:v>
              </c:pt>
              <c:pt idx="158">
                <c:v>1</c:v>
              </c:pt>
              <c:pt idx="159">
                <c:v>1</c:v>
              </c:pt>
              <c:pt idx="160">
                <c:v>1</c:v>
              </c:pt>
              <c:pt idx="161">
                <c:v>1</c:v>
              </c:pt>
              <c:pt idx="162">
                <c:v>1</c:v>
              </c:pt>
              <c:pt idx="163">
                <c:v>1</c:v>
              </c:pt>
              <c:pt idx="164">
                <c:v>1</c:v>
              </c:pt>
              <c:pt idx="165">
                <c:v>1</c:v>
              </c:pt>
              <c:pt idx="166">
                <c:v>1</c:v>
              </c:pt>
              <c:pt idx="167">
                <c:v>1</c:v>
              </c:pt>
              <c:pt idx="168">
                <c:v>1</c:v>
              </c:pt>
              <c:pt idx="169">
                <c:v>1</c:v>
              </c:pt>
              <c:pt idx="170">
                <c:v>1</c:v>
              </c:pt>
              <c:pt idx="171">
                <c:v>1</c:v>
              </c:pt>
              <c:pt idx="172">
                <c:v>1</c:v>
              </c:pt>
              <c:pt idx="173">
                <c:v>1</c:v>
              </c:pt>
              <c:pt idx="174">
                <c:v>1</c:v>
              </c:pt>
              <c:pt idx="175">
                <c:v>1</c:v>
              </c:pt>
              <c:pt idx="176">
                <c:v>1</c:v>
              </c:pt>
              <c:pt idx="177">
                <c:v>1</c:v>
              </c:pt>
              <c:pt idx="178">
                <c:v>1</c:v>
              </c:pt>
              <c:pt idx="179">
                <c:v>1</c:v>
              </c:pt>
              <c:pt idx="180">
                <c:v>1</c:v>
              </c:pt>
              <c:pt idx="181">
                <c:v>1</c:v>
              </c:pt>
              <c:pt idx="182">
                <c:v>1</c:v>
              </c:pt>
              <c:pt idx="183">
                <c:v>1</c:v>
              </c:pt>
              <c:pt idx="184">
                <c:v>1</c:v>
              </c:pt>
            </c:numLit>
          </c:val>
          <c:smooth val="0"/>
        </c:ser>
        <c:dLbls>
          <c:showLegendKey val="0"/>
          <c:showVal val="0"/>
          <c:showCatName val="0"/>
          <c:showSerName val="0"/>
          <c:showPercent val="0"/>
          <c:showBubbleSize val="0"/>
        </c:dLbls>
        <c:marker val="1"/>
        <c:smooth val="0"/>
        <c:axId val="634636656"/>
        <c:axId val="634641360"/>
        <c:extLst/>
      </c:lineChart>
      <c:catAx>
        <c:axId val="6346366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41360"/>
        <c:crossesAt val="0"/>
        <c:auto val="1"/>
        <c:lblAlgn val="ctr"/>
        <c:lblOffset val="100"/>
        <c:tickLblSkip val="20"/>
        <c:tickMarkSkip val="10"/>
        <c:noMultiLvlLbl val="0"/>
      </c:catAx>
      <c:valAx>
        <c:axId val="634641360"/>
        <c:scaling>
          <c:orientation val="minMax"/>
          <c:max val="1.8"/>
          <c:min val="0.8"/>
        </c:scaling>
        <c:delete val="0"/>
        <c:axPos val="l"/>
        <c:majorGridlines>
          <c:spPr>
            <a:ln w="12700">
              <a:solidFill>
                <a:srgbClr val="000000"/>
              </a:solidFill>
              <a:prstDash val="sysDash"/>
            </a:ln>
          </c:spPr>
        </c:majorGridlines>
        <c:title>
          <c:tx>
            <c:rich>
              <a:bodyPr/>
              <a:lstStyle/>
              <a:p>
                <a:pPr>
                  <a:defRPr sz="1300"/>
                </a:pPr>
                <a:r>
                  <a:rPr lang="fr-FR" sz="1200">
                    <a:latin typeface="Arial Narrow" panose="020B0606020202030204" pitchFamily="34" charset="0"/>
                  </a:rPr>
                  <a:t>Ratio</a:t>
                </a:r>
                <a:r>
                  <a:rPr lang="fr-FR" sz="1200" baseline="0">
                    <a:latin typeface="Arial Narrow" panose="020B0606020202030204" pitchFamily="34" charset="0"/>
                  </a:rPr>
                  <a:t> entre le vote total à gauche des 50% de la populattion habitant dans les agglomérations les plus grandes et les 50% habitant dans les plus petites </a:t>
                </a:r>
                <a:endParaRPr lang="fr-FR" sz="1200">
                  <a:latin typeface="Arial Narrow" panose="020B0606020202030204" pitchFamily="34" charset="0"/>
                </a:endParaRPr>
              </a:p>
            </c:rich>
          </c:tx>
          <c:layout>
            <c:manualLayout>
              <c:xMode val="edge"/>
              <c:yMode val="edge"/>
              <c:x val="1.4228254418762055E-3"/>
              <c:y val="3.1634186073450803E-2"/>
            </c:manualLayout>
          </c:layout>
          <c:overlay val="0"/>
        </c:title>
        <c:numFmt formatCode="#,##0.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36656"/>
        <c:crosses val="autoZero"/>
        <c:crossBetween val="midCat"/>
        <c:majorUnit val="0.1"/>
      </c:valAx>
      <c:spPr>
        <a:noFill/>
        <a:ln w="25400">
          <a:solidFill>
            <a:schemeClr val="tx1"/>
          </a:solidFill>
        </a:ln>
      </c:spPr>
    </c:plotArea>
    <c:legend>
      <c:legendPos val="l"/>
      <c:layout>
        <c:manualLayout>
          <c:xMode val="edge"/>
          <c:yMode val="edge"/>
          <c:x val="0.31641317395906249"/>
          <c:y val="0.1119519204791206"/>
          <c:w val="0.43976754930341588"/>
          <c:h val="7.7592781188970839E-2"/>
        </c:manualLayout>
      </c:layout>
      <c:overlay val="1"/>
      <c:spPr>
        <a:solidFill>
          <a:schemeClr val="bg1"/>
        </a:solidFill>
        <a:ln w="254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fr-FR" sz="1800" b="1" baseline="0"/>
              <a:t>Graph. 23. Vote à gauche et taille d'agglomération: une fracture territoriale à son plus haut niveau depuis l'entre-deux-guerres </a:t>
            </a:r>
            <a:endParaRPr lang="fr-FR" sz="1600" b="0"/>
          </a:p>
        </c:rich>
      </c:tx>
      <c:layout>
        <c:manualLayout>
          <c:xMode val="edge"/>
          <c:yMode val="edge"/>
          <c:x val="0.14784095250313525"/>
          <c:y val="2.2365868209192536E-3"/>
        </c:manualLayout>
      </c:layout>
      <c:overlay val="0"/>
    </c:title>
    <c:autoTitleDeleted val="0"/>
    <c:plotArea>
      <c:layout>
        <c:manualLayout>
          <c:layoutTarget val="inner"/>
          <c:xMode val="edge"/>
          <c:yMode val="edge"/>
          <c:x val="0.10993356094304174"/>
          <c:y val="9.7269175033319083E-2"/>
          <c:w val="0.85664917674277352"/>
          <c:h val="0.71715283377637085"/>
        </c:manualLayout>
      </c:layout>
      <c:lineChart>
        <c:grouping val="standard"/>
        <c:varyColors val="0"/>
        <c:ser>
          <c:idx val="1"/>
          <c:order val="0"/>
          <c:tx>
            <c:v>Elections européennes 1994-2024</c:v>
          </c:tx>
          <c:spPr>
            <a:ln w="50800">
              <a:solidFill>
                <a:srgbClr val="FFC000"/>
              </a:solidFill>
            </a:ln>
          </c:spPr>
          <c:marker>
            <c:symbol val="triangle"/>
            <c:size val="12"/>
            <c:spPr>
              <a:solidFill>
                <a:srgbClr val="FFC000"/>
              </a:solidFill>
              <a:ln>
                <a:solidFill>
                  <a:srgbClr val="FFC000"/>
                </a:solidFill>
              </a:ln>
            </c:spPr>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General</c:formatCode>
              <c:ptCount val="185"/>
              <c:pt idx="154" formatCode="0%">
                <c:v>1.0684438280694393</c:v>
              </c:pt>
              <c:pt idx="159" formatCode="0%">
                <c:v>1.1159827519770111</c:v>
              </c:pt>
              <c:pt idx="164" formatCode="0%">
                <c:v>1.0565440988921273</c:v>
              </c:pt>
              <c:pt idx="169" formatCode="0%">
                <c:v>1.1510658602784085</c:v>
              </c:pt>
              <c:pt idx="174" formatCode="0%">
                <c:v>1.3211551055146911</c:v>
              </c:pt>
              <c:pt idx="179" formatCode="0%">
                <c:v>1.3439008800133185</c:v>
              </c:pt>
              <c:pt idx="184" formatCode="0%">
                <c:v>1.8978782897579498</c:v>
              </c:pt>
            </c:numLit>
          </c:val>
          <c:smooth val="1"/>
        </c:ser>
        <c:ser>
          <c:idx val="3"/>
          <c:order val="1"/>
          <c:tx>
            <c:v>Elections législatives 1848-2022</c:v>
          </c:tx>
          <c:spPr>
            <a:ln w="50800">
              <a:solidFill>
                <a:srgbClr val="00B0F0"/>
              </a:solidFill>
            </a:ln>
          </c:spPr>
          <c:marker>
            <c:symbol val="square"/>
            <c:size val="8"/>
            <c:spPr>
              <a:solidFill>
                <a:srgbClr val="00B0F0"/>
              </a:solidFill>
              <a:ln>
                <a:solidFill>
                  <a:srgbClr val="00B0F0"/>
                </a:solidFill>
              </a:ln>
            </c:spPr>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General</c:formatCode>
              <c:ptCount val="185"/>
              <c:pt idx="8" formatCode="0%">
                <c:v>2.0511726877608547</c:v>
              </c:pt>
              <c:pt idx="9" formatCode="0%">
                <c:v>1.9032807597370833</c:v>
              </c:pt>
              <c:pt idx="31" formatCode="0%">
                <c:v>2.6183543598483343</c:v>
              </c:pt>
              <c:pt idx="32" formatCode="0%">
                <c:v>1.7867220791330125</c:v>
              </c:pt>
              <c:pt idx="36" formatCode="0%">
                <c:v>2.3716506515764855</c:v>
              </c:pt>
              <c:pt idx="41" formatCode="0%">
                <c:v>2.5391043629235139</c:v>
              </c:pt>
              <c:pt idx="45" formatCode="0%">
                <c:v>2.805832225103281</c:v>
              </c:pt>
              <c:pt idx="49" formatCode="0%">
                <c:v>1.6600349091348505</c:v>
              </c:pt>
              <c:pt idx="53" formatCode="0%">
                <c:v>1.8859882391532501</c:v>
              </c:pt>
              <c:pt idx="58" formatCode="0%">
                <c:v>1.8928911193724431</c:v>
              </c:pt>
              <c:pt idx="62" formatCode="0%">
                <c:v>1.5194643569582862</c:v>
              </c:pt>
              <c:pt idx="66" formatCode="0%">
                <c:v>1.4306206429339587</c:v>
              </c:pt>
              <c:pt idx="70" formatCode="0%">
                <c:v>1.3052263935104693</c:v>
              </c:pt>
              <c:pt idx="74" formatCode="0%">
                <c:v>1.3144203050166938</c:v>
              </c:pt>
              <c:pt idx="79" formatCode="0%">
                <c:v>1.2434061221710742</c:v>
              </c:pt>
              <c:pt idx="84" formatCode="0%">
                <c:v>1.9343400757132847</c:v>
              </c:pt>
              <c:pt idx="88" formatCode="0%">
                <c:v>2.1377662623661773</c:v>
              </c:pt>
              <c:pt idx="92" formatCode="0%">
                <c:v>1.9805190045843974</c:v>
              </c:pt>
              <c:pt idx="96" formatCode="0%">
                <c:v>1.8702723451350742</c:v>
              </c:pt>
              <c:pt idx="105" formatCode="0%">
                <c:v>1.2767754211525844</c:v>
              </c:pt>
              <c:pt idx="106" formatCode="0%">
                <c:v>1.1955494182520492</c:v>
              </c:pt>
              <c:pt idx="107" formatCode="0%">
                <c:v>1.1557158339399984</c:v>
              </c:pt>
              <c:pt idx="111" formatCode="0%">
                <c:v>1.2281557412534396</c:v>
              </c:pt>
              <c:pt idx="116" formatCode="0%">
                <c:v>1.14662071878823</c:v>
              </c:pt>
              <c:pt idx="118" formatCode="0%">
                <c:v>0.95350153983887398</c:v>
              </c:pt>
              <c:pt idx="122" formatCode="0%">
                <c:v>1.0244583127815798</c:v>
              </c:pt>
              <c:pt idx="127" formatCode="0%">
                <c:v>1.0972566249381404</c:v>
              </c:pt>
              <c:pt idx="128" formatCode="0%">
                <c:v>1.0127478068384255</c:v>
              </c:pt>
              <c:pt idx="133" formatCode="0%">
                <c:v>1.1189799161015861</c:v>
              </c:pt>
              <c:pt idx="138" formatCode="0%">
                <c:v>1.0322688789858969</c:v>
              </c:pt>
              <c:pt idx="141" formatCode="0%">
                <c:v>1.0287769603270152</c:v>
              </c:pt>
              <c:pt idx="146" formatCode="0%">
                <c:v>0.98920504324850533</c:v>
              </c:pt>
              <c:pt idx="148" formatCode="0%">
                <c:v>0.95742432583221437</c:v>
              </c:pt>
              <c:pt idx="153" formatCode="0%">
                <c:v>1.0960430982710558</c:v>
              </c:pt>
              <c:pt idx="157" formatCode="0%">
                <c:v>1.0680754278276303</c:v>
              </c:pt>
              <c:pt idx="162" formatCode="0%">
                <c:v>1.1153738537525892</c:v>
              </c:pt>
              <c:pt idx="167" formatCode="0%">
                <c:v>1.0935783809994934</c:v>
              </c:pt>
              <c:pt idx="172" formatCode="0%">
                <c:v>1.1785286911906805</c:v>
              </c:pt>
              <c:pt idx="177" formatCode="0%">
                <c:v>1.2312640439247964</c:v>
              </c:pt>
              <c:pt idx="182" formatCode="0%">
                <c:v>1.5143572607650451</c:v>
              </c:pt>
            </c:numLit>
          </c:val>
          <c:smooth val="1"/>
        </c:ser>
        <c:ser>
          <c:idx val="4"/>
          <c:order val="2"/>
          <c:spPr>
            <a:ln w="50800">
              <a:solidFill>
                <a:sysClr val="windowText" lastClr="000000"/>
              </a:solidFill>
            </a:ln>
          </c:spPr>
          <c:marker>
            <c:symbol val="none"/>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0%</c:formatCode>
              <c:ptCount val="18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pt idx="101">
                <c:v>1</c:v>
              </c:pt>
              <c:pt idx="102">
                <c:v>1</c:v>
              </c:pt>
              <c:pt idx="103">
                <c:v>1</c:v>
              </c:pt>
              <c:pt idx="104">
                <c:v>1</c:v>
              </c:pt>
              <c:pt idx="105">
                <c:v>1</c:v>
              </c:pt>
              <c:pt idx="106">
                <c:v>1</c:v>
              </c:pt>
              <c:pt idx="107">
                <c:v>1</c:v>
              </c:pt>
              <c:pt idx="108">
                <c:v>1</c:v>
              </c:pt>
              <c:pt idx="109">
                <c:v>1</c:v>
              </c:pt>
              <c:pt idx="110">
                <c:v>1</c:v>
              </c:pt>
              <c:pt idx="111">
                <c:v>1</c:v>
              </c:pt>
              <c:pt idx="112">
                <c:v>1</c:v>
              </c:pt>
              <c:pt idx="113">
                <c:v>1</c:v>
              </c:pt>
              <c:pt idx="114">
                <c:v>1</c:v>
              </c:pt>
              <c:pt idx="115">
                <c:v>1</c:v>
              </c:pt>
              <c:pt idx="116">
                <c:v>1</c:v>
              </c:pt>
              <c:pt idx="117">
                <c:v>1</c:v>
              </c:pt>
              <c:pt idx="118">
                <c:v>1</c:v>
              </c:pt>
              <c:pt idx="119">
                <c:v>1</c:v>
              </c:pt>
              <c:pt idx="120">
                <c:v>1</c:v>
              </c:pt>
              <c:pt idx="121">
                <c:v>1</c:v>
              </c:pt>
              <c:pt idx="122">
                <c:v>1</c:v>
              </c:pt>
              <c:pt idx="123">
                <c:v>1</c:v>
              </c:pt>
              <c:pt idx="124">
                <c:v>1</c:v>
              </c:pt>
              <c:pt idx="125">
                <c:v>1</c:v>
              </c:pt>
              <c:pt idx="126">
                <c:v>1</c:v>
              </c:pt>
              <c:pt idx="127">
                <c:v>1</c:v>
              </c:pt>
              <c:pt idx="128">
                <c:v>1</c:v>
              </c:pt>
              <c:pt idx="129">
                <c:v>1</c:v>
              </c:pt>
              <c:pt idx="130">
                <c:v>1</c:v>
              </c:pt>
              <c:pt idx="131">
                <c:v>1</c:v>
              </c:pt>
              <c:pt idx="132">
                <c:v>1</c:v>
              </c:pt>
              <c:pt idx="133">
                <c:v>1</c:v>
              </c:pt>
              <c:pt idx="134">
                <c:v>1</c:v>
              </c:pt>
              <c:pt idx="135">
                <c:v>1</c:v>
              </c:pt>
              <c:pt idx="136">
                <c:v>1</c:v>
              </c:pt>
              <c:pt idx="137">
                <c:v>1</c:v>
              </c:pt>
              <c:pt idx="138">
                <c:v>1</c:v>
              </c:pt>
              <c:pt idx="139">
                <c:v>1</c:v>
              </c:pt>
              <c:pt idx="140">
                <c:v>1</c:v>
              </c:pt>
              <c:pt idx="141">
                <c:v>1</c:v>
              </c:pt>
              <c:pt idx="142">
                <c:v>1</c:v>
              </c:pt>
              <c:pt idx="143">
                <c:v>1</c:v>
              </c:pt>
              <c:pt idx="144">
                <c:v>1</c:v>
              </c:pt>
              <c:pt idx="145">
                <c:v>1</c:v>
              </c:pt>
              <c:pt idx="146">
                <c:v>1</c:v>
              </c:pt>
              <c:pt idx="147">
                <c:v>1</c:v>
              </c:pt>
              <c:pt idx="148">
                <c:v>1</c:v>
              </c:pt>
              <c:pt idx="149">
                <c:v>1</c:v>
              </c:pt>
              <c:pt idx="150">
                <c:v>1</c:v>
              </c:pt>
              <c:pt idx="151">
                <c:v>1</c:v>
              </c:pt>
              <c:pt idx="152">
                <c:v>1</c:v>
              </c:pt>
              <c:pt idx="153">
                <c:v>1</c:v>
              </c:pt>
              <c:pt idx="154">
                <c:v>1</c:v>
              </c:pt>
              <c:pt idx="155">
                <c:v>1</c:v>
              </c:pt>
              <c:pt idx="156">
                <c:v>1</c:v>
              </c:pt>
              <c:pt idx="157">
                <c:v>1</c:v>
              </c:pt>
              <c:pt idx="158">
                <c:v>1</c:v>
              </c:pt>
              <c:pt idx="159">
                <c:v>1</c:v>
              </c:pt>
              <c:pt idx="160">
                <c:v>1</c:v>
              </c:pt>
              <c:pt idx="161">
                <c:v>1</c:v>
              </c:pt>
              <c:pt idx="162">
                <c:v>1</c:v>
              </c:pt>
              <c:pt idx="163">
                <c:v>1</c:v>
              </c:pt>
              <c:pt idx="164">
                <c:v>1</c:v>
              </c:pt>
              <c:pt idx="165">
                <c:v>1</c:v>
              </c:pt>
              <c:pt idx="166">
                <c:v>1</c:v>
              </c:pt>
              <c:pt idx="167">
                <c:v>1</c:v>
              </c:pt>
              <c:pt idx="168">
                <c:v>1</c:v>
              </c:pt>
              <c:pt idx="169">
                <c:v>1</c:v>
              </c:pt>
              <c:pt idx="170">
                <c:v>1</c:v>
              </c:pt>
              <c:pt idx="171">
                <c:v>1</c:v>
              </c:pt>
              <c:pt idx="172">
                <c:v>1</c:v>
              </c:pt>
              <c:pt idx="173">
                <c:v>1</c:v>
              </c:pt>
              <c:pt idx="174">
                <c:v>1</c:v>
              </c:pt>
              <c:pt idx="175">
                <c:v>1</c:v>
              </c:pt>
              <c:pt idx="176">
                <c:v>1</c:v>
              </c:pt>
              <c:pt idx="177">
                <c:v>1</c:v>
              </c:pt>
              <c:pt idx="178">
                <c:v>1</c:v>
              </c:pt>
              <c:pt idx="179">
                <c:v>1</c:v>
              </c:pt>
              <c:pt idx="180">
                <c:v>1</c:v>
              </c:pt>
              <c:pt idx="181">
                <c:v>1</c:v>
              </c:pt>
              <c:pt idx="182">
                <c:v>1</c:v>
              </c:pt>
              <c:pt idx="183">
                <c:v>1</c:v>
              </c:pt>
              <c:pt idx="184">
                <c:v>1</c:v>
              </c:pt>
            </c:numLit>
          </c:val>
          <c:smooth val="0"/>
        </c:ser>
        <c:dLbls>
          <c:showLegendKey val="0"/>
          <c:showVal val="0"/>
          <c:showCatName val="0"/>
          <c:showSerName val="0"/>
          <c:showPercent val="0"/>
          <c:showBubbleSize val="0"/>
        </c:dLbls>
        <c:marker val="1"/>
        <c:smooth val="0"/>
        <c:axId val="634651160"/>
        <c:axId val="634650376"/>
        <c:extLst/>
      </c:lineChart>
      <c:catAx>
        <c:axId val="6346511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50376"/>
        <c:crossesAt val="0"/>
        <c:auto val="1"/>
        <c:lblAlgn val="ctr"/>
        <c:lblOffset val="100"/>
        <c:tickLblSkip val="20"/>
        <c:tickMarkSkip val="10"/>
        <c:noMultiLvlLbl val="0"/>
      </c:catAx>
      <c:valAx>
        <c:axId val="634650376"/>
        <c:scaling>
          <c:orientation val="minMax"/>
          <c:max val="2.9"/>
          <c:min val="0.8"/>
        </c:scaling>
        <c:delete val="0"/>
        <c:axPos val="l"/>
        <c:majorGridlines>
          <c:spPr>
            <a:ln w="12700">
              <a:solidFill>
                <a:srgbClr val="000000"/>
              </a:solidFill>
              <a:prstDash val="sysDash"/>
            </a:ln>
          </c:spPr>
        </c:majorGridlines>
        <c:title>
          <c:tx>
            <c:rich>
              <a:bodyPr/>
              <a:lstStyle/>
              <a:p>
                <a:pPr>
                  <a:defRPr sz="1300"/>
                </a:pPr>
                <a:r>
                  <a:rPr lang="fr-FR" sz="1200">
                    <a:latin typeface="Arial Narrow" panose="020B0606020202030204" pitchFamily="34" charset="0"/>
                  </a:rPr>
                  <a:t>Ratio</a:t>
                </a:r>
                <a:r>
                  <a:rPr lang="fr-FR" sz="1200" baseline="0">
                    <a:latin typeface="Arial Narrow" panose="020B0606020202030204" pitchFamily="34" charset="0"/>
                  </a:rPr>
                  <a:t> entre le vote total à gauche des 10% de la populattion habitant dans les agglomérations les plus grandes et les 10% habitant dans les plus petites </a:t>
                </a:r>
                <a:endParaRPr lang="fr-FR" sz="1200">
                  <a:latin typeface="Arial Narrow" panose="020B0606020202030204" pitchFamily="34" charset="0"/>
                </a:endParaRPr>
              </a:p>
            </c:rich>
          </c:tx>
          <c:layout>
            <c:manualLayout>
              <c:xMode val="edge"/>
              <c:yMode val="edge"/>
              <c:x val="1.4228254418762055E-3"/>
              <c:y val="3.1634186073450803E-2"/>
            </c:manualLayout>
          </c:layout>
          <c:overlay val="0"/>
        </c:title>
        <c:numFmt formatCode="#,##0.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51160"/>
        <c:crosses val="autoZero"/>
        <c:crossBetween val="midCat"/>
        <c:majorUnit val="0.2"/>
      </c:valAx>
      <c:spPr>
        <a:noFill/>
        <a:ln w="25400">
          <a:solidFill>
            <a:schemeClr val="tx1"/>
          </a:solidFill>
        </a:ln>
      </c:spPr>
    </c:plotArea>
    <c:legend>
      <c:legendPos val="l"/>
      <c:layout>
        <c:manualLayout>
          <c:xMode val="edge"/>
          <c:yMode val="edge"/>
          <c:x val="0.35676326329786329"/>
          <c:y val="0.15933187042456098"/>
          <c:w val="0.43976754930341588"/>
          <c:h val="7.7592781188970839E-2"/>
        </c:manualLayout>
      </c:layout>
      <c:overlay val="1"/>
      <c:spPr>
        <a:solidFill>
          <a:schemeClr val="bg1"/>
        </a:solidFill>
        <a:ln w="254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24. Les élections européennes 1994 et la richesse</a:t>
            </a:r>
            <a:endParaRPr lang="fr-FR" sz="2000" b="0" baseline="0">
              <a:latin typeface="Arial" panose="020B0604020202020204" pitchFamily="34" charset="0"/>
              <a:cs typeface="Arial" panose="020B0604020202020204" pitchFamily="34" charset="0"/>
            </a:endParaRPr>
          </a:p>
        </c:rich>
      </c:tx>
      <c:layout>
        <c:manualLayout>
          <c:xMode val="edge"/>
          <c:yMode val="edge"/>
          <c:x val="0.14078839670349741"/>
          <c:y val="2.2030681290069517E-3"/>
        </c:manualLayout>
      </c:layout>
      <c:overlay val="0"/>
      <c:spPr>
        <a:noFill/>
        <a:ln w="25400">
          <a:noFill/>
        </a:ln>
      </c:spPr>
    </c:title>
    <c:autoTitleDeleted val="0"/>
    <c:plotArea>
      <c:layout>
        <c:manualLayout>
          <c:layoutTarget val="inner"/>
          <c:xMode val="edge"/>
          <c:yMode val="edge"/>
          <c:x val="0.10234307699066557"/>
          <c:y val="5.6647840996558375E-2"/>
          <c:w val="0.85328418233501813"/>
          <c:h val="0.67664617575472175"/>
        </c:manualLayout>
      </c:layout>
      <c:lineChart>
        <c:grouping val="standard"/>
        <c:varyColors val="0"/>
        <c:ser>
          <c:idx val="1"/>
          <c:order val="0"/>
          <c:tx>
            <c:v>LO</c:v>
          </c:tx>
          <c:spPr>
            <a:ln w="50800">
              <a:solidFill>
                <a:srgbClr val="C00000"/>
              </a:solidFill>
            </a:ln>
          </c:spPr>
          <c:marker>
            <c:symbol val="square"/>
            <c:size val="11"/>
            <c:spPr>
              <a:solidFill>
                <a:srgbClr val="C00000"/>
              </a:solidFill>
              <a:ln>
                <a:solidFill>
                  <a:srgbClr val="C0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1.1003677213669034</c:v>
              </c:pt>
              <c:pt idx="1">
                <c:v>1.141223937049356</c:v>
              </c:pt>
              <c:pt idx="2">
                <c:v>1.115720532423893</c:v>
              </c:pt>
              <c:pt idx="3">
                <c:v>1.081669709406349</c:v>
              </c:pt>
              <c:pt idx="4">
                <c:v>1.0102066166178478</c:v>
              </c:pt>
              <c:pt idx="5">
                <c:v>1.0359137507100038</c:v>
              </c:pt>
              <c:pt idx="6">
                <c:v>0.98277290947383245</c:v>
              </c:pt>
              <c:pt idx="7">
                <c:v>0.9248461283635383</c:v>
              </c:pt>
              <c:pt idx="8">
                <c:v>0.89849038824906058</c:v>
              </c:pt>
              <c:pt idx="9">
                <c:v>0.7087883063392153</c:v>
              </c:pt>
              <c:pt idx="10">
                <c:v>0.65688802026613791</c:v>
              </c:pt>
              <c:pt idx="11">
                <c:v>0.37007710570639785</c:v>
              </c:pt>
            </c:numLit>
          </c:val>
          <c:smooth val="1"/>
        </c:ser>
        <c:ser>
          <c:idx val="4"/>
          <c:order val="1"/>
          <c:tx>
            <c:v>PCF</c:v>
          </c:tx>
          <c:spPr>
            <a:ln w="50800">
              <a:solidFill>
                <a:srgbClr val="FF0000"/>
              </a:solidFill>
            </a:ln>
          </c:spPr>
          <c:marker>
            <c:symbol val="circle"/>
            <c:size val="11"/>
            <c:spPr>
              <a:solidFill>
                <a:srgbClr val="FF0000"/>
              </a:solidFill>
              <a:ln>
                <a:solidFill>
                  <a:srgbClr val="FF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1.6013275416728929</c:v>
              </c:pt>
              <c:pt idx="1">
                <c:v>1.4105792944312578</c:v>
              </c:pt>
              <c:pt idx="2">
                <c:v>1.2885526488572676</c:v>
              </c:pt>
              <c:pt idx="3">
                <c:v>1.2472043219591757</c:v>
              </c:pt>
              <c:pt idx="4">
                <c:v>1.069646273956196</c:v>
              </c:pt>
              <c:pt idx="5">
                <c:v>1.0644088367278211</c:v>
              </c:pt>
              <c:pt idx="6">
                <c:v>1.0132751647953837</c:v>
              </c:pt>
              <c:pt idx="7">
                <c:v>0.7677089174044468</c:v>
              </c:pt>
              <c:pt idx="8">
                <c:v>0.5021969817472085</c:v>
              </c:pt>
              <c:pt idx="9">
                <c:v>0.18510001844834933</c:v>
              </c:pt>
              <c:pt idx="10">
                <c:v>0.15</c:v>
              </c:pt>
              <c:pt idx="11">
                <c:v>0.1</c:v>
              </c:pt>
            </c:numLit>
          </c:val>
          <c:smooth val="1"/>
        </c:ser>
        <c:ser>
          <c:idx val="8"/>
          <c:order val="2"/>
          <c:tx>
            <c:v>PS</c:v>
          </c:tx>
          <c:spPr>
            <a:ln w="50800">
              <a:solidFill>
                <a:srgbClr val="FC9AEC"/>
              </a:solidFill>
            </a:ln>
          </c:spPr>
          <c:marker>
            <c:symbol val="triangle"/>
            <c:size val="11"/>
            <c:spPr>
              <a:solidFill>
                <a:srgbClr val="FC9AEC"/>
              </a:solidFill>
              <a:ln>
                <a:solidFill>
                  <a:srgbClr val="FC9AEC"/>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0.95026804952128763</c:v>
              </c:pt>
              <c:pt idx="1">
                <c:v>0.97703516449617733</c:v>
              </c:pt>
              <c:pt idx="2">
                <c:v>0.98554293452428898</c:v>
              </c:pt>
              <c:pt idx="3">
                <c:v>0.96563475056322101</c:v>
              </c:pt>
              <c:pt idx="4">
                <c:v>0.99750971929881294</c:v>
              </c:pt>
              <c:pt idx="5">
                <c:v>0.98528863277024059</c:v>
              </c:pt>
              <c:pt idx="6">
                <c:v>1.0439258918539689</c:v>
              </c:pt>
              <c:pt idx="7">
                <c:v>1.0132785830692967</c:v>
              </c:pt>
              <c:pt idx="8">
                <c:v>1.0330405663360089</c:v>
              </c:pt>
              <c:pt idx="9">
                <c:v>1.0484757075666968</c:v>
              </c:pt>
              <c:pt idx="10">
                <c:v>1.0593054703779257</c:v>
              </c:pt>
              <c:pt idx="11">
                <c:v>0.80867808315205159</c:v>
              </c:pt>
            </c:numLit>
          </c:val>
          <c:smooth val="0"/>
        </c:ser>
        <c:ser>
          <c:idx val="3"/>
          <c:order val="3"/>
          <c:tx>
            <c:v>MRG</c:v>
          </c:tx>
          <c:spPr>
            <a:ln w="50800">
              <a:solidFill>
                <a:srgbClr val="FFC000"/>
              </a:solidFill>
            </a:ln>
          </c:spPr>
          <c:marker>
            <c:symbol val="circle"/>
            <c:size val="11"/>
            <c:spPr>
              <a:solidFill>
                <a:srgbClr val="FFC000"/>
              </a:solidFill>
              <a:ln>
                <a:solidFill>
                  <a:srgbClr val="FFC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1.0527245989524103</c:v>
              </c:pt>
              <c:pt idx="1">
                <c:v>1.1019710343979932</c:v>
              </c:pt>
              <c:pt idx="2">
                <c:v>1.113735721460988</c:v>
              </c:pt>
              <c:pt idx="3">
                <c:v>1.1288448715867883</c:v>
              </c:pt>
              <c:pt idx="4">
                <c:v>1.0737032793299126</c:v>
              </c:pt>
              <c:pt idx="5">
                <c:v>1.045750193679414</c:v>
              </c:pt>
              <c:pt idx="6">
                <c:v>1.0301674433080639</c:v>
              </c:pt>
              <c:pt idx="7">
                <c:v>1.0012886495990094</c:v>
              </c:pt>
              <c:pt idx="8">
                <c:v>0.85898369079357251</c:v>
              </c:pt>
              <c:pt idx="9">
                <c:v>0.59283051689184696</c:v>
              </c:pt>
              <c:pt idx="10">
                <c:v>0.50879576638831592</c:v>
              </c:pt>
              <c:pt idx="11">
                <c:v>0.23591745310891887</c:v>
              </c:pt>
            </c:numLit>
          </c:val>
          <c:smooth val="1"/>
        </c:ser>
        <c:ser>
          <c:idx val="5"/>
          <c:order val="4"/>
          <c:tx>
            <c:v>Verts</c:v>
          </c:tx>
          <c:spPr>
            <a:ln w="50800">
              <a:solidFill>
                <a:srgbClr val="00B050"/>
              </a:solidFill>
            </a:ln>
          </c:spPr>
          <c:marker>
            <c:spPr>
              <a:solidFill>
                <a:srgbClr val="00B050"/>
              </a:solidFill>
              <a:ln>
                <a:solidFill>
                  <a:srgbClr val="00B05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0.83170716173208104</c:v>
              </c:pt>
              <c:pt idx="1">
                <c:v>0.90538708854747474</c:v>
              </c:pt>
              <c:pt idx="2">
                <c:v>0.95313204289550868</c:v>
              </c:pt>
              <c:pt idx="3">
                <c:v>0.97916400998303843</c:v>
              </c:pt>
              <c:pt idx="4">
                <c:v>0.99635973683694834</c:v>
              </c:pt>
              <c:pt idx="5">
                <c:v>1.0578475051826783</c:v>
              </c:pt>
              <c:pt idx="6">
                <c:v>1.0607716700377994</c:v>
              </c:pt>
              <c:pt idx="7">
                <c:v>1.1043907764787533</c:v>
              </c:pt>
              <c:pt idx="8">
                <c:v>1.112541762970785</c:v>
              </c:pt>
              <c:pt idx="9">
                <c:v>0.9986982453349329</c:v>
              </c:pt>
              <c:pt idx="10">
                <c:v>0.96015698780114733</c:v>
              </c:pt>
              <c:pt idx="11">
                <c:v>0.66610960951800424</c:v>
              </c:pt>
            </c:numLit>
          </c:val>
          <c:smooth val="1"/>
        </c:ser>
        <c:ser>
          <c:idx val="6"/>
          <c:order val="5"/>
          <c:tx>
            <c:v>UDF-RPR</c:v>
          </c:tx>
          <c:spPr>
            <a:ln w="50800">
              <a:solidFill>
                <a:srgbClr val="00B0F0"/>
              </a:solidFill>
            </a:ln>
          </c:spPr>
          <c:marker>
            <c:symbol val="triangle"/>
            <c:size val="11"/>
            <c:spPr>
              <a:solidFill>
                <a:srgbClr val="00B0F0"/>
              </a:solidFill>
              <a:ln>
                <a:solidFill>
                  <a:srgbClr val="00B0F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0.91042763076594213</c:v>
              </c:pt>
              <c:pt idx="1">
                <c:v>0.86935950690938457</c:v>
              </c:pt>
              <c:pt idx="2">
                <c:v>0.88945817743156474</c:v>
              </c:pt>
              <c:pt idx="3">
                <c:v>0.89263251083966788</c:v>
              </c:pt>
              <c:pt idx="4">
                <c:v>0.9603131618967683</c:v>
              </c:pt>
              <c:pt idx="5">
                <c:v>0.94783959380873106</c:v>
              </c:pt>
              <c:pt idx="6">
                <c:v>0.98825255249317256</c:v>
              </c:pt>
              <c:pt idx="7">
                <c:v>1.0201380074021547</c:v>
              </c:pt>
              <c:pt idx="8">
                <c:v>1.1214809810661499</c:v>
              </c:pt>
              <c:pt idx="9">
                <c:v>1.4000978773864645</c:v>
              </c:pt>
              <c:pt idx="10">
                <c:v>1.4958198202366311</c:v>
              </c:pt>
              <c:pt idx="11">
                <c:v>1.8246278003752037</c:v>
              </c:pt>
            </c:numLit>
          </c:val>
          <c:smooth val="1"/>
        </c:ser>
        <c:ser>
          <c:idx val="0"/>
          <c:order val="6"/>
          <c:tx>
            <c:v>MPF</c:v>
          </c:tx>
          <c:spPr>
            <a:ln w="50800">
              <a:solidFill>
                <a:schemeClr val="tx1"/>
              </a:solidFill>
            </a:ln>
          </c:spPr>
          <c:marker>
            <c:symbol val="square"/>
            <c:size val="11"/>
            <c:spPr>
              <a:solidFill>
                <a:schemeClr val="tx1"/>
              </a:solidFill>
              <a:ln>
                <a:solidFill>
                  <a:schemeClr val="tx1"/>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0.85802596146156074</c:v>
              </c:pt>
              <c:pt idx="1">
                <c:v>0.8662763323761844</c:v>
              </c:pt>
              <c:pt idx="2">
                <c:v>0.86608052783367762</c:v>
              </c:pt>
              <c:pt idx="3">
                <c:v>0.90191153485692277</c:v>
              </c:pt>
              <c:pt idx="4">
                <c:v>0.9437513132582751</c:v>
              </c:pt>
              <c:pt idx="5">
                <c:v>0.95513208183755238</c:v>
              </c:pt>
              <c:pt idx="6">
                <c:v>0.96651738153205669</c:v>
              </c:pt>
              <c:pt idx="7">
                <c:v>1.0565044290780847</c:v>
              </c:pt>
              <c:pt idx="8">
                <c:v>1.1585578923694533</c:v>
              </c:pt>
              <c:pt idx="9">
                <c:v>1.4272425453962321</c:v>
              </c:pt>
              <c:pt idx="10">
                <c:v>1.5156696225150652</c:v>
              </c:pt>
              <c:pt idx="11">
                <c:v>1.8560981055627859</c:v>
              </c:pt>
            </c:numLit>
          </c:val>
          <c:smooth val="1"/>
        </c:ser>
        <c:ser>
          <c:idx val="7"/>
          <c:order val="7"/>
          <c:tx>
            <c:v>FN</c:v>
          </c:tx>
          <c:spPr>
            <a:ln w="50800">
              <a:solidFill>
                <a:srgbClr val="7030A0"/>
              </a:solidFill>
            </a:ln>
          </c:spPr>
          <c:marker>
            <c:symbol val="circle"/>
            <c:size val="11"/>
            <c:spPr>
              <a:solidFill>
                <a:srgbClr val="7030A0"/>
              </a:solidFill>
              <a:ln>
                <a:solidFill>
                  <a:srgbClr val="7030A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0.95761796600908178</c:v>
              </c:pt>
              <c:pt idx="1">
                <c:v>1.0604353782786127</c:v>
              </c:pt>
              <c:pt idx="2">
                <c:v>1.0665645432206896</c:v>
              </c:pt>
              <c:pt idx="3">
                <c:v>1.1029682054956726</c:v>
              </c:pt>
              <c:pt idx="4">
                <c:v>1.0467942767662843</c:v>
              </c:pt>
              <c:pt idx="5">
                <c:v>1.0844870519360337</c:v>
              </c:pt>
              <c:pt idx="6">
                <c:v>0.9657193285851684</c:v>
              </c:pt>
              <c:pt idx="7">
                <c:v>1.0027945248602532</c:v>
              </c:pt>
              <c:pt idx="8">
                <c:v>0.98579377518909572</c:v>
              </c:pt>
              <c:pt idx="9">
                <c:v>0.72682494965910749</c:v>
              </c:pt>
              <c:pt idx="10">
                <c:v>0.64557698682613607</c:v>
              </c:pt>
              <c:pt idx="11">
                <c:v>0.56895989511884926</c:v>
              </c:pt>
            </c:numLit>
          </c:val>
          <c:smooth val="1"/>
        </c:ser>
        <c:ser>
          <c:idx val="2"/>
          <c:order val="8"/>
          <c:spPr>
            <a:ln w="50800">
              <a:solidFill>
                <a:schemeClr val="tx1"/>
              </a:solidFill>
            </a:ln>
          </c:spPr>
          <c:marker>
            <c:symbol val="none"/>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ser>
        <c:dLbls>
          <c:showLegendKey val="0"/>
          <c:showVal val="0"/>
          <c:showCatName val="0"/>
          <c:showSerName val="0"/>
          <c:showPercent val="0"/>
          <c:showBubbleSize val="0"/>
        </c:dLbls>
        <c:marker val="1"/>
        <c:smooth val="0"/>
        <c:axId val="634645280"/>
        <c:axId val="634651944"/>
      </c:lineChart>
      <c:catAx>
        <c:axId val="634645280"/>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0883480250350581"/>
              <c:y val="0.78530019375117022"/>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51944"/>
        <c:crossesAt val="0"/>
        <c:auto val="1"/>
        <c:lblAlgn val="ctr"/>
        <c:lblOffset val="100"/>
        <c:tickLblSkip val="1"/>
        <c:tickMarkSkip val="1"/>
        <c:noMultiLvlLbl val="0"/>
      </c:catAx>
      <c:valAx>
        <c:axId val="634651944"/>
        <c:scaling>
          <c:orientation val="minMax"/>
          <c:max val="2.3499999999999996"/>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candidats (% moyenne nationale)</a:t>
                </a:r>
                <a:endParaRPr lang="fr-FR" sz="1200"/>
              </a:p>
            </c:rich>
          </c:tx>
          <c:layout>
            <c:manualLayout>
              <c:xMode val="edge"/>
              <c:yMode val="edge"/>
              <c:x val="2.7718961931617134E-3"/>
              <c:y val="5.574654446931121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45280"/>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35500639652448024"/>
          <c:y val="0.11018720238786865"/>
          <c:w val="0.26345803661921247"/>
          <c:h val="0.14741267811935829"/>
        </c:manualLayout>
      </c:layout>
      <c:overlay val="0"/>
      <c:spPr>
        <a:solidFill>
          <a:schemeClr val="bg1"/>
        </a:solidFill>
        <a:ln w="28575">
          <a:solidFill>
            <a:schemeClr val="tx1"/>
          </a:solidFill>
        </a:ln>
      </c:spPr>
      <c:txPr>
        <a:bodyPr/>
        <a:lstStyle/>
        <a:p>
          <a:pPr>
            <a:defRPr sz="15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25. Les élections européennes 1999 et la richesse</a:t>
            </a:r>
            <a:endParaRPr lang="fr-FR" sz="2000" b="0" baseline="0">
              <a:latin typeface="Arial" panose="020B0604020202020204" pitchFamily="34" charset="0"/>
              <a:cs typeface="Arial" panose="020B0604020202020204" pitchFamily="34" charset="0"/>
            </a:endParaRPr>
          </a:p>
        </c:rich>
      </c:tx>
      <c:layout>
        <c:manualLayout>
          <c:xMode val="edge"/>
          <c:yMode val="edge"/>
          <c:x val="0.15609360300442185"/>
          <c:y val="2.2030681290069517E-3"/>
        </c:manualLayout>
      </c:layout>
      <c:overlay val="0"/>
      <c:spPr>
        <a:noFill/>
        <a:ln w="25400">
          <a:noFill/>
        </a:ln>
      </c:spPr>
    </c:title>
    <c:autoTitleDeleted val="0"/>
    <c:plotArea>
      <c:layout>
        <c:manualLayout>
          <c:layoutTarget val="inner"/>
          <c:xMode val="edge"/>
          <c:yMode val="edge"/>
          <c:x val="0.10234307699066557"/>
          <c:y val="5.6647840996558375E-2"/>
          <c:w val="0.85328418233501813"/>
          <c:h val="0.67664617575472175"/>
        </c:manualLayout>
      </c:layout>
      <c:lineChart>
        <c:grouping val="standard"/>
        <c:varyColors val="0"/>
        <c:ser>
          <c:idx val="1"/>
          <c:order val="0"/>
          <c:tx>
            <c:v>LO</c:v>
          </c:tx>
          <c:spPr>
            <a:ln w="50800">
              <a:solidFill>
                <a:srgbClr val="C00000"/>
              </a:solidFill>
            </a:ln>
          </c:spPr>
          <c:marker>
            <c:symbol val="square"/>
            <c:size val="11"/>
            <c:spPr>
              <a:solidFill>
                <a:srgbClr val="C00000"/>
              </a:solidFill>
              <a:ln>
                <a:solidFill>
                  <a:srgbClr val="C0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1.1369482430535904</c:v>
              </c:pt>
              <c:pt idx="1">
                <c:v>1.0969854610301044</c:v>
              </c:pt>
              <c:pt idx="2">
                <c:v>1.0992432517762771</c:v>
              </c:pt>
              <c:pt idx="3">
                <c:v>1.0726062729756691</c:v>
              </c:pt>
              <c:pt idx="4">
                <c:v>1.0613426303064797</c:v>
              </c:pt>
              <c:pt idx="5">
                <c:v>1.0542982405395218</c:v>
              </c:pt>
              <c:pt idx="6">
                <c:v>1.0355825131071612</c:v>
              </c:pt>
              <c:pt idx="7">
                <c:v>0.94592972641616735</c:v>
              </c:pt>
              <c:pt idx="8">
                <c:v>0.89288338043400661</c:v>
              </c:pt>
              <c:pt idx="9">
                <c:v>0.60418028036102145</c:v>
              </c:pt>
              <c:pt idx="10">
                <c:v>0.49290000253256816</c:v>
              </c:pt>
              <c:pt idx="11">
                <c:v>0.15643647917731607</c:v>
              </c:pt>
            </c:numLit>
          </c:val>
          <c:smooth val="1"/>
        </c:ser>
        <c:ser>
          <c:idx val="4"/>
          <c:order val="1"/>
          <c:tx>
            <c:v>PCF</c:v>
          </c:tx>
          <c:spPr>
            <a:ln w="50800">
              <a:solidFill>
                <a:srgbClr val="FF0000"/>
              </a:solidFill>
            </a:ln>
          </c:spPr>
          <c:marker>
            <c:symbol val="circle"/>
            <c:size val="11"/>
            <c:spPr>
              <a:solidFill>
                <a:srgbClr val="FF0000"/>
              </a:solidFill>
              <a:ln>
                <a:solidFill>
                  <a:srgbClr val="FF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1.56736683757839</c:v>
              </c:pt>
              <c:pt idx="1">
                <c:v>1.3267820024737929</c:v>
              </c:pt>
              <c:pt idx="2">
                <c:v>1.2507429877164551</c:v>
              </c:pt>
              <c:pt idx="3">
                <c:v>1.0559763817182848</c:v>
              </c:pt>
              <c:pt idx="4">
                <c:v>1.1586867337136977</c:v>
              </c:pt>
              <c:pt idx="5">
                <c:v>1.0591908590841652</c:v>
              </c:pt>
              <c:pt idx="6">
                <c:v>0.97147104997825862</c:v>
              </c:pt>
              <c:pt idx="7">
                <c:v>0.80014960794813028</c:v>
              </c:pt>
              <c:pt idx="8">
                <c:v>0.61594252586937615</c:v>
              </c:pt>
              <c:pt idx="9">
                <c:v>0.29369101391944835</c:v>
              </c:pt>
              <c:pt idx="10">
                <c:v>0.15</c:v>
              </c:pt>
              <c:pt idx="11">
                <c:v>0.1</c:v>
              </c:pt>
            </c:numLit>
          </c:val>
          <c:smooth val="1"/>
        </c:ser>
        <c:ser>
          <c:idx val="8"/>
          <c:order val="2"/>
          <c:tx>
            <c:v>PS</c:v>
          </c:tx>
          <c:spPr>
            <a:ln w="50800">
              <a:solidFill>
                <a:srgbClr val="FC9AEC"/>
              </a:solidFill>
            </a:ln>
          </c:spPr>
          <c:marker>
            <c:symbol val="triangle"/>
            <c:size val="11"/>
            <c:spPr>
              <a:solidFill>
                <a:srgbClr val="FC9AEC"/>
              </a:solidFill>
              <a:ln>
                <a:solidFill>
                  <a:srgbClr val="FC9AEC"/>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1.0446739286173541</c:v>
              </c:pt>
              <c:pt idx="1">
                <c:v>1.026161818085225</c:v>
              </c:pt>
              <c:pt idx="2">
                <c:v>1.0249512073721896</c:v>
              </c:pt>
              <c:pt idx="3">
                <c:v>1.0521966312072208</c:v>
              </c:pt>
              <c:pt idx="4">
                <c:v>1.0192565126238675</c:v>
              </c:pt>
              <c:pt idx="5">
                <c:v>1.0226845707732843</c:v>
              </c:pt>
              <c:pt idx="6">
                <c:v>1.0392099534431105</c:v>
              </c:pt>
              <c:pt idx="7">
                <c:v>0.9835838289995964</c:v>
              </c:pt>
              <c:pt idx="8">
                <c:v>0.9527983233140197</c:v>
              </c:pt>
              <c:pt idx="9">
                <c:v>0.83448322556413246</c:v>
              </c:pt>
              <c:pt idx="10">
                <c:v>0.81209282470020661</c:v>
              </c:pt>
              <c:pt idx="11">
                <c:v>0.60121923507323682</c:v>
              </c:pt>
            </c:numLit>
          </c:val>
          <c:smooth val="0"/>
        </c:ser>
        <c:ser>
          <c:idx val="3"/>
          <c:order val="3"/>
          <c:tx>
            <c:v>Verts</c:v>
          </c:tx>
          <c:spPr>
            <a:ln w="50800">
              <a:solidFill>
                <a:srgbClr val="00B050"/>
              </a:solidFill>
            </a:ln>
          </c:spPr>
          <c:marker>
            <c:symbol val="circle"/>
            <c:size val="11"/>
            <c:spPr>
              <a:solidFill>
                <a:srgbClr val="00B050"/>
              </a:solidFill>
              <a:ln>
                <a:solidFill>
                  <a:srgbClr val="00B05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0.78531170196201439</c:v>
              </c:pt>
              <c:pt idx="1">
                <c:v>0.84494653937477759</c:v>
              </c:pt>
              <c:pt idx="2">
                <c:v>0.87513294726793256</c:v>
              </c:pt>
              <c:pt idx="3">
                <c:v>0.95286872468949135</c:v>
              </c:pt>
              <c:pt idx="4">
                <c:v>0.96747336450587329</c:v>
              </c:pt>
              <c:pt idx="5">
                <c:v>1.0360854929872874</c:v>
              </c:pt>
              <c:pt idx="6">
                <c:v>1.0944736896474918</c:v>
              </c:pt>
              <c:pt idx="7">
                <c:v>1.097309459359908</c:v>
              </c:pt>
              <c:pt idx="8">
                <c:v>1.2011520273778558</c:v>
              </c:pt>
              <c:pt idx="9">
                <c:v>1.145246052827368</c:v>
              </c:pt>
              <c:pt idx="10">
                <c:v>1.1182825243974657</c:v>
              </c:pt>
              <c:pt idx="11">
                <c:v>0.7931568436169153</c:v>
              </c:pt>
            </c:numLit>
          </c:val>
          <c:smooth val="1"/>
        </c:ser>
        <c:ser>
          <c:idx val="5"/>
          <c:order val="4"/>
          <c:tx>
            <c:v>UDF</c:v>
          </c:tx>
          <c:spPr>
            <a:ln w="50800">
              <a:solidFill>
                <a:srgbClr val="FFC000"/>
              </a:solidFill>
            </a:ln>
          </c:spPr>
          <c:marker>
            <c:spPr>
              <a:solidFill>
                <a:srgbClr val="FFC000"/>
              </a:solidFill>
              <a:ln>
                <a:solidFill>
                  <a:srgbClr val="FFC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0.76151172424497693</c:v>
              </c:pt>
              <c:pt idx="1">
                <c:v>0.82733246118099235</c:v>
              </c:pt>
              <c:pt idx="2">
                <c:v>0.83619584281995851</c:v>
              </c:pt>
              <c:pt idx="3">
                <c:v>0.92697228742091153</c:v>
              </c:pt>
              <c:pt idx="4">
                <c:v>0.9096172512585512</c:v>
              </c:pt>
              <c:pt idx="5">
                <c:v>0.96673181476737191</c:v>
              </c:pt>
              <c:pt idx="6">
                <c:v>1.0483870517452758</c:v>
              </c:pt>
              <c:pt idx="7">
                <c:v>1.0370375764893376</c:v>
              </c:pt>
              <c:pt idx="8">
                <c:v>1.1830588080218345</c:v>
              </c:pt>
              <c:pt idx="9">
                <c:v>1.5031551820507894</c:v>
              </c:pt>
              <c:pt idx="10">
                <c:v>1.6392726632827217</c:v>
              </c:pt>
              <c:pt idx="11">
                <c:v>1.9470144833577212</c:v>
              </c:pt>
            </c:numLit>
          </c:val>
          <c:smooth val="1"/>
        </c:ser>
        <c:ser>
          <c:idx val="6"/>
          <c:order val="5"/>
          <c:tx>
            <c:v>RPR</c:v>
          </c:tx>
          <c:spPr>
            <a:ln w="50800">
              <a:solidFill>
                <a:srgbClr val="00B0F0"/>
              </a:solidFill>
            </a:ln>
          </c:spPr>
          <c:marker>
            <c:symbol val="triangle"/>
            <c:size val="11"/>
            <c:spPr>
              <a:solidFill>
                <a:srgbClr val="00B0F0"/>
              </a:solidFill>
              <a:ln>
                <a:solidFill>
                  <a:srgbClr val="00B0F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0.87379793066309719</c:v>
              </c:pt>
              <c:pt idx="1">
                <c:v>0.87153879993797201</c:v>
              </c:pt>
              <c:pt idx="2">
                <c:v>0.8830225961895023</c:v>
              </c:pt>
              <c:pt idx="3">
                <c:v>0.91716961407966702</c:v>
              </c:pt>
              <c:pt idx="4">
                <c:v>0.9353943773148955</c:v>
              </c:pt>
              <c:pt idx="5">
                <c:v>0.92072509778204703</c:v>
              </c:pt>
              <c:pt idx="6">
                <c:v>0.9651376649585941</c:v>
              </c:pt>
              <c:pt idx="7">
                <c:v>1.0293891672553053</c:v>
              </c:pt>
              <c:pt idx="8">
                <c:v>1.1243545790628922</c:v>
              </c:pt>
              <c:pt idx="9">
                <c:v>1.4794701727560278</c:v>
              </c:pt>
              <c:pt idx="10">
                <c:v>1.5660946770684081</c:v>
              </c:pt>
              <c:pt idx="11">
                <c:v>2.1705982170710838</c:v>
              </c:pt>
            </c:numLit>
          </c:val>
          <c:smooth val="1"/>
        </c:ser>
        <c:ser>
          <c:idx val="0"/>
          <c:order val="6"/>
          <c:tx>
            <c:v>MPF</c:v>
          </c:tx>
          <c:spPr>
            <a:ln w="50800">
              <a:solidFill>
                <a:schemeClr val="tx1"/>
              </a:solidFill>
            </a:ln>
          </c:spPr>
          <c:marker>
            <c:symbol val="square"/>
            <c:size val="11"/>
            <c:spPr>
              <a:solidFill>
                <a:schemeClr val="tx1"/>
              </a:solidFill>
              <a:ln>
                <a:solidFill>
                  <a:schemeClr val="tx1"/>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0.87519814393552664</c:v>
              </c:pt>
              <c:pt idx="1">
                <c:v>0.93733055534697263</c:v>
              </c:pt>
              <c:pt idx="2">
                <c:v>0.94829946504720941</c:v>
              </c:pt>
              <c:pt idx="3">
                <c:v>0.96271189403812474</c:v>
              </c:pt>
              <c:pt idx="4">
                <c:v>0.96053585828846588</c:v>
              </c:pt>
              <c:pt idx="5">
                <c:v>0.98457754242121298</c:v>
              </c:pt>
              <c:pt idx="6">
                <c:v>0.95021715955254815</c:v>
              </c:pt>
              <c:pt idx="7">
                <c:v>1.0486605807335263</c:v>
              </c:pt>
              <c:pt idx="8">
                <c:v>1.0916262752039612</c:v>
              </c:pt>
              <c:pt idx="9">
                <c:v>1.2408425254324524</c:v>
              </c:pt>
              <c:pt idx="10">
                <c:v>1.2768261759048669</c:v>
              </c:pt>
              <c:pt idx="11">
                <c:v>1.3820284662501043</c:v>
              </c:pt>
            </c:numLit>
          </c:val>
          <c:smooth val="1"/>
        </c:ser>
        <c:ser>
          <c:idx val="7"/>
          <c:order val="7"/>
          <c:tx>
            <c:v>FN</c:v>
          </c:tx>
          <c:spPr>
            <a:ln w="50800">
              <a:solidFill>
                <a:srgbClr val="7030A0"/>
              </a:solidFill>
            </a:ln>
          </c:spPr>
          <c:marker>
            <c:symbol val="circle"/>
            <c:size val="11"/>
            <c:spPr>
              <a:solidFill>
                <a:srgbClr val="7030A0"/>
              </a:solidFill>
              <a:ln>
                <a:solidFill>
                  <a:srgbClr val="7030A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1.178711023558636</c:v>
              </c:pt>
              <c:pt idx="1">
                <c:v>1.1286987768137631</c:v>
              </c:pt>
              <c:pt idx="2">
                <c:v>1.1251421997515674</c:v>
              </c:pt>
              <c:pt idx="3">
                <c:v>1.0378929485366357</c:v>
              </c:pt>
              <c:pt idx="4">
                <c:v>1.0776173581165118</c:v>
              </c:pt>
              <c:pt idx="5">
                <c:v>1.0067872724376303</c:v>
              </c:pt>
              <c:pt idx="6">
                <c:v>0.93402059704302953</c:v>
              </c:pt>
              <c:pt idx="7">
                <c:v>0.98883920389558444</c:v>
              </c:pt>
              <c:pt idx="8">
                <c:v>0.8682290597132134</c:v>
              </c:pt>
              <c:pt idx="9">
                <c:v>0.65406156013342787</c:v>
              </c:pt>
              <c:pt idx="10">
                <c:v>0.58452019886195272</c:v>
              </c:pt>
              <c:pt idx="11">
                <c:v>0.50034855224878394</c:v>
              </c:pt>
            </c:numLit>
          </c:val>
          <c:smooth val="1"/>
        </c:ser>
        <c:ser>
          <c:idx val="2"/>
          <c:order val="8"/>
          <c:spPr>
            <a:ln w="50800">
              <a:solidFill>
                <a:schemeClr val="tx1"/>
              </a:solidFill>
            </a:ln>
          </c:spPr>
          <c:marker>
            <c:symbol val="none"/>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ser>
        <c:dLbls>
          <c:showLegendKey val="0"/>
          <c:showVal val="0"/>
          <c:showCatName val="0"/>
          <c:showSerName val="0"/>
          <c:showPercent val="0"/>
          <c:showBubbleSize val="0"/>
        </c:dLbls>
        <c:marker val="1"/>
        <c:smooth val="0"/>
        <c:axId val="634644496"/>
        <c:axId val="634650768"/>
      </c:lineChart>
      <c:catAx>
        <c:axId val="634644496"/>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0883480250350581"/>
              <c:y val="0.78530019375117022"/>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50768"/>
        <c:crossesAt val="0"/>
        <c:auto val="1"/>
        <c:lblAlgn val="ctr"/>
        <c:lblOffset val="100"/>
        <c:tickLblSkip val="1"/>
        <c:tickMarkSkip val="1"/>
        <c:noMultiLvlLbl val="0"/>
      </c:catAx>
      <c:valAx>
        <c:axId val="634650768"/>
        <c:scaling>
          <c:orientation val="minMax"/>
          <c:max val="2.3499999999999996"/>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candidats (% moyenne nationale)</a:t>
                </a:r>
                <a:endParaRPr lang="fr-FR" sz="1200"/>
              </a:p>
            </c:rich>
          </c:tx>
          <c:layout>
            <c:manualLayout>
              <c:xMode val="edge"/>
              <c:yMode val="edge"/>
              <c:x val="2.7718961931617134E-3"/>
              <c:y val="5.574654446931121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44496"/>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35500639652448024"/>
          <c:y val="0.11018720238786865"/>
          <c:w val="0.26345803661921247"/>
          <c:h val="0.14741267811935829"/>
        </c:manualLayout>
      </c:layout>
      <c:overlay val="0"/>
      <c:spPr>
        <a:solidFill>
          <a:schemeClr val="bg1"/>
        </a:solidFill>
        <a:ln w="28575">
          <a:solidFill>
            <a:schemeClr val="tx1"/>
          </a:solidFill>
        </a:ln>
      </c:spPr>
      <c:txPr>
        <a:bodyPr/>
        <a:lstStyle/>
        <a:p>
          <a:pPr>
            <a:defRPr sz="15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26. Les élections européennes 2004 et la richesse</a:t>
            </a:r>
            <a:endParaRPr lang="fr-FR" sz="2000" b="0" baseline="0">
              <a:latin typeface="Arial" panose="020B0604020202020204" pitchFamily="34" charset="0"/>
              <a:cs typeface="Arial" panose="020B0604020202020204" pitchFamily="34" charset="0"/>
            </a:endParaRPr>
          </a:p>
        </c:rich>
      </c:tx>
      <c:layout>
        <c:manualLayout>
          <c:xMode val="edge"/>
          <c:yMode val="edge"/>
          <c:x val="0.157484985395415"/>
          <c:y val="2.2030681290069517E-3"/>
        </c:manualLayout>
      </c:layout>
      <c:overlay val="0"/>
      <c:spPr>
        <a:noFill/>
        <a:ln w="25400">
          <a:noFill/>
        </a:ln>
      </c:spPr>
    </c:title>
    <c:autoTitleDeleted val="0"/>
    <c:plotArea>
      <c:layout>
        <c:manualLayout>
          <c:layoutTarget val="inner"/>
          <c:xMode val="edge"/>
          <c:yMode val="edge"/>
          <c:x val="0.10234307699066557"/>
          <c:y val="5.6647840996558375E-2"/>
          <c:w val="0.85328418233501813"/>
          <c:h val="0.67664617575472175"/>
        </c:manualLayout>
      </c:layout>
      <c:lineChart>
        <c:grouping val="standard"/>
        <c:varyColors val="0"/>
        <c:ser>
          <c:idx val="1"/>
          <c:order val="0"/>
          <c:tx>
            <c:v>LO</c:v>
          </c:tx>
          <c:spPr>
            <a:ln w="50800">
              <a:solidFill>
                <a:srgbClr val="C00000"/>
              </a:solidFill>
            </a:ln>
          </c:spPr>
          <c:marker>
            <c:symbol val="square"/>
            <c:size val="11"/>
            <c:spPr>
              <a:solidFill>
                <a:srgbClr val="C00000"/>
              </a:solidFill>
              <a:ln>
                <a:solidFill>
                  <a:srgbClr val="C0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1.2111576024669553</c:v>
              </c:pt>
              <c:pt idx="1">
                <c:v>1.1475416836195247</c:v>
              </c:pt>
              <c:pt idx="2">
                <c:v>1.1410714553232071</c:v>
              </c:pt>
              <c:pt idx="3">
                <c:v>1.1044933065701055</c:v>
              </c:pt>
              <c:pt idx="4">
                <c:v>1.0829513684270216</c:v>
              </c:pt>
              <c:pt idx="5">
                <c:v>1.0491042404835738</c:v>
              </c:pt>
              <c:pt idx="6">
                <c:v>1.0079110622733056</c:v>
              </c:pt>
              <c:pt idx="7">
                <c:v>0.91876813981878103</c:v>
              </c:pt>
              <c:pt idx="8">
                <c:v>0.82256077231582159</c:v>
              </c:pt>
              <c:pt idx="9">
                <c:v>0.51444036870170473</c:v>
              </c:pt>
              <c:pt idx="10">
                <c:v>0.41528033050942947</c:v>
              </c:pt>
              <c:pt idx="11">
                <c:v>0.13460238328761309</c:v>
              </c:pt>
            </c:numLit>
          </c:val>
          <c:smooth val="1"/>
        </c:ser>
        <c:ser>
          <c:idx val="4"/>
          <c:order val="1"/>
          <c:tx>
            <c:v>PCF</c:v>
          </c:tx>
          <c:spPr>
            <a:ln w="50800">
              <a:solidFill>
                <a:srgbClr val="FF0000"/>
              </a:solidFill>
            </a:ln>
          </c:spPr>
          <c:marker>
            <c:symbol val="circle"/>
            <c:size val="11"/>
            <c:spPr>
              <a:solidFill>
                <a:srgbClr val="FF0000"/>
              </a:solidFill>
              <a:ln>
                <a:solidFill>
                  <a:srgbClr val="FF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1.8472319806522519</c:v>
              </c:pt>
              <c:pt idx="1">
                <c:v>1.3160057945451826</c:v>
              </c:pt>
              <c:pt idx="2">
                <c:v>1.2009922720049628</c:v>
              </c:pt>
              <c:pt idx="3">
                <c:v>1.125541693499289</c:v>
              </c:pt>
              <c:pt idx="4">
                <c:v>1.0829638160005366</c:v>
              </c:pt>
              <c:pt idx="5">
                <c:v>0.97578887449755747</c:v>
              </c:pt>
              <c:pt idx="6">
                <c:v>0.88618579608552406</c:v>
              </c:pt>
              <c:pt idx="7">
                <c:v>0.75571637499194222</c:v>
              </c:pt>
              <c:pt idx="8">
                <c:v>0.59561609956265404</c:v>
              </c:pt>
              <c:pt idx="9">
                <c:v>0.31395729816010021</c:v>
              </c:pt>
              <c:pt idx="10">
                <c:v>0.15</c:v>
              </c:pt>
              <c:pt idx="11">
                <c:v>0.1</c:v>
              </c:pt>
            </c:numLit>
          </c:val>
          <c:smooth val="1"/>
        </c:ser>
        <c:ser>
          <c:idx val="8"/>
          <c:order val="2"/>
          <c:tx>
            <c:v>PS</c:v>
          </c:tx>
          <c:spPr>
            <a:ln w="50800">
              <a:solidFill>
                <a:srgbClr val="FC9AEC"/>
              </a:solidFill>
            </a:ln>
          </c:spPr>
          <c:marker>
            <c:symbol val="triangle"/>
            <c:size val="11"/>
            <c:spPr>
              <a:solidFill>
                <a:srgbClr val="FC9AEC"/>
              </a:solidFill>
              <a:ln>
                <a:solidFill>
                  <a:srgbClr val="FC9AEC"/>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1.0531115533580566</c:v>
              </c:pt>
              <c:pt idx="1">
                <c:v>1.0560611892636775</c:v>
              </c:pt>
              <c:pt idx="2">
                <c:v>1.0361884855055117</c:v>
              </c:pt>
              <c:pt idx="3">
                <c:v>1.0452797357825334</c:v>
              </c:pt>
              <c:pt idx="4">
                <c:v>1.0319140636500339</c:v>
              </c:pt>
              <c:pt idx="5">
                <c:v>1.045023966035086</c:v>
              </c:pt>
              <c:pt idx="6">
                <c:v>1.0302490219942926</c:v>
              </c:pt>
              <c:pt idx="7">
                <c:v>0.97623393261912528</c:v>
              </c:pt>
              <c:pt idx="8">
                <c:v>0.93169333992443371</c:v>
              </c:pt>
              <c:pt idx="9">
                <c:v>0.79424471186725021</c:v>
              </c:pt>
              <c:pt idx="10">
                <c:v>0.76971882227938804</c:v>
              </c:pt>
              <c:pt idx="11">
                <c:v>0.52161781940311891</c:v>
              </c:pt>
            </c:numLit>
          </c:val>
          <c:smooth val="0"/>
        </c:ser>
        <c:ser>
          <c:idx val="3"/>
          <c:order val="3"/>
          <c:tx>
            <c:v>Verts</c:v>
          </c:tx>
          <c:spPr>
            <a:ln w="50800">
              <a:solidFill>
                <a:srgbClr val="00B050"/>
              </a:solidFill>
            </a:ln>
          </c:spPr>
          <c:marker>
            <c:symbol val="circle"/>
            <c:size val="11"/>
            <c:spPr>
              <a:solidFill>
                <a:srgbClr val="00B050"/>
              </a:solidFill>
              <a:ln>
                <a:solidFill>
                  <a:srgbClr val="00B05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0.8319619172715309</c:v>
              </c:pt>
              <c:pt idx="1">
                <c:v>0.87751628321010144</c:v>
              </c:pt>
              <c:pt idx="2">
                <c:v>0.90402489006099429</c:v>
              </c:pt>
              <c:pt idx="3">
                <c:v>0.95789092396255615</c:v>
              </c:pt>
              <c:pt idx="4">
                <c:v>1.0104404219111602</c:v>
              </c:pt>
              <c:pt idx="5">
                <c:v>1.0639271793401057</c:v>
              </c:pt>
              <c:pt idx="6">
                <c:v>1.0994631262349457</c:v>
              </c:pt>
              <c:pt idx="7">
                <c:v>1.0847519240870251</c:v>
              </c:pt>
              <c:pt idx="8">
                <c:v>1.167028619457112</c:v>
              </c:pt>
              <c:pt idx="9">
                <c:v>1.0029947144644693</c:v>
              </c:pt>
              <c:pt idx="10">
                <c:v>0.94966044848962028</c:v>
              </c:pt>
              <c:pt idx="11">
                <c:v>0.59615490092726164</c:v>
              </c:pt>
            </c:numLit>
          </c:val>
          <c:smooth val="1"/>
        </c:ser>
        <c:ser>
          <c:idx val="5"/>
          <c:order val="4"/>
          <c:tx>
            <c:v>UDF</c:v>
          </c:tx>
          <c:spPr>
            <a:ln w="50800">
              <a:solidFill>
                <a:srgbClr val="FFC000"/>
              </a:solidFill>
            </a:ln>
          </c:spPr>
          <c:marker>
            <c:spPr>
              <a:solidFill>
                <a:srgbClr val="FFC000"/>
              </a:solidFill>
              <a:ln>
                <a:solidFill>
                  <a:srgbClr val="FFC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0.7632883133898527</c:v>
              </c:pt>
              <c:pt idx="1">
                <c:v>0.8589276285381936</c:v>
              </c:pt>
              <c:pt idx="2">
                <c:v>0.90789506351714189</c:v>
              </c:pt>
              <c:pt idx="3">
                <c:v>0.92429933062216352</c:v>
              </c:pt>
              <c:pt idx="4">
                <c:v>0.91425233345806478</c:v>
              </c:pt>
              <c:pt idx="5">
                <c:v>1.0022720304263721</c:v>
              </c:pt>
              <c:pt idx="6">
                <c:v>0.99767572539896177</c:v>
              </c:pt>
              <c:pt idx="7">
                <c:v>1.0645872958622045</c:v>
              </c:pt>
              <c:pt idx="8">
                <c:v>1.1592129543280061</c:v>
              </c:pt>
              <c:pt idx="9">
                <c:v>1.4075893244590396</c:v>
              </c:pt>
              <c:pt idx="10">
                <c:v>1.5170520523524704</c:v>
              </c:pt>
              <c:pt idx="11">
                <c:v>1.6602371097501027</c:v>
              </c:pt>
            </c:numLit>
          </c:val>
          <c:smooth val="1"/>
        </c:ser>
        <c:ser>
          <c:idx val="6"/>
          <c:order val="5"/>
          <c:tx>
            <c:v>UMP</c:v>
          </c:tx>
          <c:spPr>
            <a:ln w="50800">
              <a:solidFill>
                <a:srgbClr val="00B0F0"/>
              </a:solidFill>
            </a:ln>
          </c:spPr>
          <c:marker>
            <c:symbol val="triangle"/>
            <c:size val="11"/>
            <c:spPr>
              <a:solidFill>
                <a:srgbClr val="00B0F0"/>
              </a:solidFill>
              <a:ln>
                <a:solidFill>
                  <a:srgbClr val="00B0F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0.76895352763097025</c:v>
              </c:pt>
              <c:pt idx="1">
                <c:v>0.84785299189278085</c:v>
              </c:pt>
              <c:pt idx="2">
                <c:v>0.85731512121379483</c:v>
              </c:pt>
              <c:pt idx="3">
                <c:v>0.9031473120426986</c:v>
              </c:pt>
              <c:pt idx="4">
                <c:v>0.94469359986811008</c:v>
              </c:pt>
              <c:pt idx="5">
                <c:v>0.9164898693917588</c:v>
              </c:pt>
              <c:pt idx="6">
                <c:v>0.97894637310897048</c:v>
              </c:pt>
              <c:pt idx="7">
                <c:v>1.0682115699594319</c:v>
              </c:pt>
              <c:pt idx="8">
                <c:v>1.1638519841022152</c:v>
              </c:pt>
              <c:pt idx="9">
                <c:v>1.5505376507892699</c:v>
              </c:pt>
              <c:pt idx="10">
                <c:v>1.642924711007772</c:v>
              </c:pt>
              <c:pt idx="11">
                <c:v>2.2895057340144325</c:v>
              </c:pt>
            </c:numLit>
          </c:val>
          <c:smooth val="1"/>
        </c:ser>
        <c:ser>
          <c:idx val="0"/>
          <c:order val="6"/>
          <c:tx>
            <c:v>MPF</c:v>
          </c:tx>
          <c:spPr>
            <a:ln w="50800">
              <a:solidFill>
                <a:schemeClr val="tx1"/>
              </a:solidFill>
            </a:ln>
          </c:spPr>
          <c:marker>
            <c:symbol val="square"/>
            <c:size val="11"/>
            <c:spPr>
              <a:solidFill>
                <a:schemeClr val="tx1"/>
              </a:solidFill>
              <a:ln>
                <a:solidFill>
                  <a:schemeClr val="tx1"/>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0.87515939632401785</c:v>
              </c:pt>
              <c:pt idx="1">
                <c:v>1.0016176702649204</c:v>
              </c:pt>
              <c:pt idx="2">
                <c:v>0.99083164659225875</c:v>
              </c:pt>
              <c:pt idx="3">
                <c:v>0.92572191110011726</c:v>
              </c:pt>
              <c:pt idx="4">
                <c:v>0.96453377579926036</c:v>
              </c:pt>
              <c:pt idx="5">
                <c:v>0.96300792548766334</c:v>
              </c:pt>
              <c:pt idx="6">
                <c:v>0.96001507014762921</c:v>
              </c:pt>
              <c:pt idx="7">
                <c:v>0.99980913077517153</c:v>
              </c:pt>
              <c:pt idx="8">
                <c:v>1.0902361975044372</c:v>
              </c:pt>
              <c:pt idx="9">
                <c:v>1.2290672760045243</c:v>
              </c:pt>
              <c:pt idx="10">
                <c:v>1.2648028758889023</c:v>
              </c:pt>
              <c:pt idx="11">
                <c:v>1.4682362810082226</c:v>
              </c:pt>
            </c:numLit>
          </c:val>
          <c:smooth val="1"/>
        </c:ser>
        <c:ser>
          <c:idx val="7"/>
          <c:order val="7"/>
          <c:tx>
            <c:v>FN</c:v>
          </c:tx>
          <c:spPr>
            <a:ln w="50800">
              <a:solidFill>
                <a:srgbClr val="7030A0"/>
              </a:solidFill>
            </a:ln>
          </c:spPr>
          <c:marker>
            <c:symbol val="circle"/>
            <c:size val="11"/>
            <c:spPr>
              <a:solidFill>
                <a:srgbClr val="7030A0"/>
              </a:solidFill>
              <a:ln>
                <a:solidFill>
                  <a:srgbClr val="7030A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1.1701890170974507</c:v>
              </c:pt>
              <c:pt idx="1">
                <c:v>1.0877108094942534</c:v>
              </c:pt>
              <c:pt idx="2">
                <c:v>1.1375111815312122</c:v>
              </c:pt>
              <c:pt idx="3">
                <c:v>1.089606543057454</c:v>
              </c:pt>
              <c:pt idx="4">
                <c:v>1.051159009632634</c:v>
              </c:pt>
              <c:pt idx="5">
                <c:v>0.9806641448290675</c:v>
              </c:pt>
              <c:pt idx="6">
                <c:v>0.96480056139570025</c:v>
              </c:pt>
              <c:pt idx="7">
                <c:v>0.98348351883783247</c:v>
              </c:pt>
              <c:pt idx="8">
                <c:v>0.85037907556626835</c:v>
              </c:pt>
              <c:pt idx="9">
                <c:v>0.68449613855812808</c:v>
              </c:pt>
              <c:pt idx="10">
                <c:v>0.64167581133734208</c:v>
              </c:pt>
              <c:pt idx="11">
                <c:v>0.55264335874864623</c:v>
              </c:pt>
            </c:numLit>
          </c:val>
          <c:smooth val="1"/>
        </c:ser>
        <c:ser>
          <c:idx val="2"/>
          <c:order val="8"/>
          <c:spPr>
            <a:ln w="50800">
              <a:solidFill>
                <a:schemeClr val="tx1"/>
              </a:solidFill>
            </a:ln>
          </c:spPr>
          <c:marker>
            <c:symbol val="none"/>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ser>
        <c:dLbls>
          <c:showLegendKey val="0"/>
          <c:showVal val="0"/>
          <c:showCatName val="0"/>
          <c:showSerName val="0"/>
          <c:showPercent val="0"/>
          <c:showBubbleSize val="0"/>
        </c:dLbls>
        <c:marker val="1"/>
        <c:smooth val="0"/>
        <c:axId val="634644888"/>
        <c:axId val="634653512"/>
      </c:lineChart>
      <c:catAx>
        <c:axId val="634644888"/>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0883480250350581"/>
              <c:y val="0.78530019375117022"/>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53512"/>
        <c:crossesAt val="0"/>
        <c:auto val="1"/>
        <c:lblAlgn val="ctr"/>
        <c:lblOffset val="100"/>
        <c:tickLblSkip val="1"/>
        <c:tickMarkSkip val="1"/>
        <c:noMultiLvlLbl val="0"/>
      </c:catAx>
      <c:valAx>
        <c:axId val="634653512"/>
        <c:scaling>
          <c:orientation val="minMax"/>
          <c:max val="2.3499999999999996"/>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candidats (% moyenne nationale)</a:t>
                </a:r>
                <a:endParaRPr lang="fr-FR" sz="1200"/>
              </a:p>
            </c:rich>
          </c:tx>
          <c:layout>
            <c:manualLayout>
              <c:xMode val="edge"/>
              <c:yMode val="edge"/>
              <c:x val="2.7718961931617134E-3"/>
              <c:y val="5.574654446931121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44888"/>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37865989717136345"/>
          <c:y val="0.11018720238786865"/>
          <c:w val="0.28293739009311636"/>
          <c:h val="0.14515983762347026"/>
        </c:manualLayout>
      </c:layout>
      <c:overlay val="0"/>
      <c:spPr>
        <a:solidFill>
          <a:schemeClr val="bg1"/>
        </a:solidFill>
        <a:ln w="28575">
          <a:solidFill>
            <a:schemeClr val="tx1"/>
          </a:solidFill>
        </a:ln>
      </c:spPr>
      <c:txPr>
        <a:bodyPr/>
        <a:lstStyle/>
        <a:p>
          <a:pPr>
            <a:defRPr sz="15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27. Les élections européennes 2009 et la richesse</a:t>
            </a:r>
            <a:endParaRPr lang="fr-FR" sz="2000" b="0" baseline="0">
              <a:latin typeface="Arial" panose="020B0604020202020204" pitchFamily="34" charset="0"/>
              <a:cs typeface="Arial" panose="020B0604020202020204" pitchFamily="34" charset="0"/>
            </a:endParaRPr>
          </a:p>
        </c:rich>
      </c:tx>
      <c:layout>
        <c:manualLayout>
          <c:xMode val="edge"/>
          <c:yMode val="edge"/>
          <c:x val="0.14768660152582089"/>
          <c:y val="2.2030681290069517E-3"/>
        </c:manualLayout>
      </c:layout>
      <c:overlay val="0"/>
      <c:spPr>
        <a:noFill/>
        <a:ln w="25400">
          <a:noFill/>
        </a:ln>
      </c:spPr>
    </c:title>
    <c:autoTitleDeleted val="0"/>
    <c:plotArea>
      <c:layout>
        <c:manualLayout>
          <c:layoutTarget val="inner"/>
          <c:xMode val="edge"/>
          <c:yMode val="edge"/>
          <c:x val="0.10234307699066557"/>
          <c:y val="5.6647840996558375E-2"/>
          <c:w val="0.85328418233501813"/>
          <c:h val="0.67664617575472175"/>
        </c:manualLayout>
      </c:layout>
      <c:lineChart>
        <c:grouping val="standard"/>
        <c:varyColors val="0"/>
        <c:ser>
          <c:idx val="1"/>
          <c:order val="0"/>
          <c:tx>
            <c:v>LO</c:v>
          </c:tx>
          <c:spPr>
            <a:ln w="50800">
              <a:solidFill>
                <a:srgbClr val="C00000"/>
              </a:solidFill>
            </a:ln>
          </c:spPr>
          <c:marker>
            <c:symbol val="square"/>
            <c:size val="11"/>
            <c:spPr>
              <a:solidFill>
                <a:srgbClr val="C00000"/>
              </a:solidFill>
              <a:ln>
                <a:solidFill>
                  <a:srgbClr val="C0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1.308297999853079</c:v>
              </c:pt>
              <c:pt idx="1">
                <c:v>1.1978695461172861</c:v>
              </c:pt>
              <c:pt idx="2">
                <c:v>1.2013166923508316</c:v>
              </c:pt>
              <c:pt idx="3">
                <c:v>1.1262541313962933</c:v>
              </c:pt>
              <c:pt idx="4">
                <c:v>1.0896819655638454</c:v>
              </c:pt>
              <c:pt idx="5">
                <c:v>1.0574491309846561</c:v>
              </c:pt>
              <c:pt idx="6">
                <c:v>0.95291375977744264</c:v>
              </c:pt>
              <c:pt idx="7">
                <c:v>0.86001536280074964</c:v>
              </c:pt>
              <c:pt idx="8">
                <c:v>0.73794025179841727</c:v>
              </c:pt>
              <c:pt idx="9">
                <c:v>0.46826115935739987</c:v>
              </c:pt>
              <c:pt idx="10">
                <c:v>0.41049069075081546</c:v>
              </c:pt>
              <c:pt idx="11">
                <c:v>0.17875002048711686</c:v>
              </c:pt>
            </c:numLit>
          </c:val>
          <c:smooth val="1"/>
        </c:ser>
        <c:ser>
          <c:idx val="4"/>
          <c:order val="1"/>
          <c:tx>
            <c:v>FG</c:v>
          </c:tx>
          <c:spPr>
            <a:ln w="50800">
              <a:solidFill>
                <a:srgbClr val="FF0000"/>
              </a:solidFill>
            </a:ln>
          </c:spPr>
          <c:marker>
            <c:symbol val="circle"/>
            <c:size val="11"/>
            <c:spPr>
              <a:solidFill>
                <a:srgbClr val="FF0000"/>
              </a:solidFill>
              <a:ln>
                <a:solidFill>
                  <a:srgbClr val="FF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1.6206599456954416</c:v>
              </c:pt>
              <c:pt idx="1">
                <c:v>1.2229889839825172</c:v>
              </c:pt>
              <c:pt idx="2">
                <c:v>1.2007014401668306</c:v>
              </c:pt>
              <c:pt idx="3">
                <c:v>1.1889683005274758</c:v>
              </c:pt>
              <c:pt idx="4">
                <c:v>1.0303634336005041</c:v>
              </c:pt>
              <c:pt idx="5">
                <c:v>1.1252691754534294</c:v>
              </c:pt>
              <c:pt idx="6">
                <c:v>0.89677888943968587</c:v>
              </c:pt>
              <c:pt idx="7">
                <c:v>0.81310552782891121</c:v>
              </c:pt>
              <c:pt idx="8">
                <c:v>0.6479057567931763</c:v>
              </c:pt>
              <c:pt idx="9">
                <c:v>0.35325854651202682</c:v>
              </c:pt>
              <c:pt idx="10">
                <c:v>0.15</c:v>
              </c:pt>
              <c:pt idx="11">
                <c:v>0.1</c:v>
              </c:pt>
            </c:numLit>
          </c:val>
          <c:smooth val="1"/>
        </c:ser>
        <c:ser>
          <c:idx val="8"/>
          <c:order val="2"/>
          <c:tx>
            <c:v>PS</c:v>
          </c:tx>
          <c:spPr>
            <a:ln w="50800">
              <a:solidFill>
                <a:srgbClr val="FC9AEC"/>
              </a:solidFill>
            </a:ln>
          </c:spPr>
          <c:marker>
            <c:symbol val="triangle"/>
            <c:size val="11"/>
            <c:spPr>
              <a:solidFill>
                <a:srgbClr val="FC9AEC"/>
              </a:solidFill>
              <a:ln>
                <a:solidFill>
                  <a:srgbClr val="FC9AEC"/>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1.1698442930673014</c:v>
              </c:pt>
              <c:pt idx="1">
                <c:v>1.1060512652099703</c:v>
              </c:pt>
              <c:pt idx="2">
                <c:v>1.0911712470284862</c:v>
              </c:pt>
              <c:pt idx="3">
                <c:v>1.0686685862455922</c:v>
              </c:pt>
              <c:pt idx="4">
                <c:v>1.0682797505200679</c:v>
              </c:pt>
              <c:pt idx="5">
                <c:v>1.0332792231501857</c:v>
              </c:pt>
              <c:pt idx="6">
                <c:v>0.99407371015147317</c:v>
              </c:pt>
              <c:pt idx="7">
                <c:v>0.92270834674740509</c:v>
              </c:pt>
              <c:pt idx="8">
                <c:v>0.85891216114152635</c:v>
              </c:pt>
              <c:pt idx="9">
                <c:v>0.68701141673799138</c:v>
              </c:pt>
              <c:pt idx="10">
                <c:v>0.67079139777834795</c:v>
              </c:pt>
              <c:pt idx="11">
                <c:v>0.41908950501368369</c:v>
              </c:pt>
            </c:numLit>
          </c:val>
          <c:smooth val="0"/>
        </c:ser>
        <c:ser>
          <c:idx val="3"/>
          <c:order val="3"/>
          <c:tx>
            <c:v>EELV</c:v>
          </c:tx>
          <c:spPr>
            <a:ln w="50800">
              <a:solidFill>
                <a:srgbClr val="00B050"/>
              </a:solidFill>
            </a:ln>
          </c:spPr>
          <c:marker>
            <c:symbol val="circle"/>
            <c:size val="11"/>
            <c:spPr>
              <a:solidFill>
                <a:srgbClr val="00B050"/>
              </a:solidFill>
              <a:ln>
                <a:solidFill>
                  <a:srgbClr val="00B05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0.77095249790056108</c:v>
              </c:pt>
              <c:pt idx="1">
                <c:v>0.8554429789527056</c:v>
              </c:pt>
              <c:pt idx="2">
                <c:v>0.88977639322925228</c:v>
              </c:pt>
              <c:pt idx="3">
                <c:v>0.93629731951289652</c:v>
              </c:pt>
              <c:pt idx="4">
                <c:v>0.98975583286136071</c:v>
              </c:pt>
              <c:pt idx="5">
                <c:v>1.0355328214011839</c:v>
              </c:pt>
              <c:pt idx="6">
                <c:v>1.06787330767305</c:v>
              </c:pt>
              <c:pt idx="7">
                <c:v>1.0942247262707765</c:v>
              </c:pt>
              <c:pt idx="8">
                <c:v>1.1925563256914744</c:v>
              </c:pt>
              <c:pt idx="9">
                <c:v>1.1675877965067396</c:v>
              </c:pt>
              <c:pt idx="10">
                <c:v>1.1443012484565283</c:v>
              </c:pt>
              <c:pt idx="11">
                <c:v>0.86409538037607281</c:v>
              </c:pt>
            </c:numLit>
          </c:val>
          <c:smooth val="1"/>
        </c:ser>
        <c:ser>
          <c:idx val="5"/>
          <c:order val="4"/>
          <c:tx>
            <c:v>Modem</c:v>
          </c:tx>
          <c:spPr>
            <a:ln w="50800">
              <a:solidFill>
                <a:srgbClr val="FFC000"/>
              </a:solidFill>
            </a:ln>
          </c:spPr>
          <c:marker>
            <c:spPr>
              <a:solidFill>
                <a:srgbClr val="FFC000"/>
              </a:solidFill>
              <a:ln>
                <a:solidFill>
                  <a:srgbClr val="FFC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0.89154535291892423</c:v>
              </c:pt>
              <c:pt idx="1">
                <c:v>0.93649388364219432</c:v>
              </c:pt>
              <c:pt idx="2">
                <c:v>0.97193861228372369</c:v>
              </c:pt>
              <c:pt idx="3">
                <c:v>0.9664264232157318</c:v>
              </c:pt>
              <c:pt idx="4">
                <c:v>1.0361218989682239</c:v>
              </c:pt>
              <c:pt idx="5">
                <c:v>1.0016364397430382</c:v>
              </c:pt>
              <c:pt idx="6">
                <c:v>1.0227304863871323</c:v>
              </c:pt>
              <c:pt idx="7">
                <c:v>1.0268345140451813</c:v>
              </c:pt>
              <c:pt idx="8">
                <c:v>1.0551383457298285</c:v>
              </c:pt>
              <c:pt idx="9">
                <c:v>1.091134043066021</c:v>
              </c:pt>
              <c:pt idx="10">
                <c:v>1.3206569692104906</c:v>
              </c:pt>
              <c:pt idx="11">
                <c:v>1.50975404530218</c:v>
              </c:pt>
            </c:numLit>
          </c:val>
          <c:smooth val="1"/>
        </c:ser>
        <c:ser>
          <c:idx val="6"/>
          <c:order val="5"/>
          <c:tx>
            <c:v>UMP</c:v>
          </c:tx>
          <c:spPr>
            <a:ln w="50800">
              <a:solidFill>
                <a:srgbClr val="00B0F0"/>
              </a:solidFill>
            </a:ln>
          </c:spPr>
          <c:marker>
            <c:symbol val="triangle"/>
            <c:size val="11"/>
            <c:spPr>
              <a:solidFill>
                <a:srgbClr val="00B0F0"/>
              </a:solidFill>
              <a:ln>
                <a:solidFill>
                  <a:srgbClr val="00B0F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0.79135631680354468</c:v>
              </c:pt>
              <c:pt idx="1">
                <c:v>0.89040523868638588</c:v>
              </c:pt>
              <c:pt idx="2">
                <c:v>0.88858175963822683</c:v>
              </c:pt>
              <c:pt idx="3">
                <c:v>0.91678615774853089</c:v>
              </c:pt>
              <c:pt idx="4">
                <c:v>0.9275851578725911</c:v>
              </c:pt>
              <c:pt idx="5">
                <c:v>0.93630181127208068</c:v>
              </c:pt>
              <c:pt idx="6">
                <c:v>0.98929292530037582</c:v>
              </c:pt>
              <c:pt idx="7">
                <c:v>1.0637860956346854</c:v>
              </c:pt>
              <c:pt idx="8">
                <c:v>1.1372888429191175</c:v>
              </c:pt>
              <c:pt idx="9">
                <c:v>1.4586156941244612</c:v>
              </c:pt>
              <c:pt idx="10">
                <c:v>1.5189759585169713</c:v>
              </c:pt>
              <c:pt idx="11">
                <c:v>2.0226904115280027</c:v>
              </c:pt>
            </c:numLit>
          </c:val>
          <c:smooth val="1"/>
        </c:ser>
        <c:ser>
          <c:idx val="0"/>
          <c:order val="6"/>
          <c:tx>
            <c:v>MPF</c:v>
          </c:tx>
          <c:spPr>
            <a:ln w="50800">
              <a:solidFill>
                <a:schemeClr val="tx1"/>
              </a:solidFill>
            </a:ln>
          </c:spPr>
          <c:marker>
            <c:symbol val="square"/>
            <c:size val="11"/>
            <c:spPr>
              <a:solidFill>
                <a:schemeClr val="tx1"/>
              </a:solidFill>
              <a:ln>
                <a:solidFill>
                  <a:schemeClr val="tx1"/>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0.98760251982799407</c:v>
              </c:pt>
              <c:pt idx="1">
                <c:v>1.0794376545307882</c:v>
              </c:pt>
              <c:pt idx="2">
                <c:v>1.0718499129853518</c:v>
              </c:pt>
              <c:pt idx="3">
                <c:v>1.0043385718413389</c:v>
              </c:pt>
              <c:pt idx="4">
                <c:v>0.95553894009194318</c:v>
              </c:pt>
              <c:pt idx="5">
                <c:v>0.9613832664219718</c:v>
              </c:pt>
              <c:pt idx="6">
                <c:v>0.98606044909601565</c:v>
              </c:pt>
              <c:pt idx="7">
                <c:v>0.96286301736232305</c:v>
              </c:pt>
              <c:pt idx="8">
                <c:v>1.0014436615708044</c:v>
              </c:pt>
              <c:pt idx="9">
                <c:v>0.98948200627146921</c:v>
              </c:pt>
              <c:pt idx="10">
                <c:v>1.026629299615762</c:v>
              </c:pt>
              <c:pt idx="11">
                <c:v>1.0852369962596355</c:v>
              </c:pt>
            </c:numLit>
          </c:val>
          <c:smooth val="1"/>
        </c:ser>
        <c:ser>
          <c:idx val="7"/>
          <c:order val="7"/>
          <c:tx>
            <c:v>FN</c:v>
          </c:tx>
          <c:spPr>
            <a:ln w="50800">
              <a:solidFill>
                <a:srgbClr val="7030A0"/>
              </a:solidFill>
            </a:ln>
          </c:spPr>
          <c:marker>
            <c:symbol val="circle"/>
            <c:size val="11"/>
            <c:spPr>
              <a:solidFill>
                <a:srgbClr val="7030A0"/>
              </a:solidFill>
              <a:ln>
                <a:solidFill>
                  <a:srgbClr val="7030A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1.3426920329762093</c:v>
              </c:pt>
              <c:pt idx="1">
                <c:v>1.1842579217641438</c:v>
              </c:pt>
              <c:pt idx="2">
                <c:v>1.103163322212156</c:v>
              </c:pt>
              <c:pt idx="3">
                <c:v>1.0648596098547045</c:v>
              </c:pt>
              <c:pt idx="4">
                <c:v>1.0237190992767062</c:v>
              </c:pt>
              <c:pt idx="5">
                <c:v>0.94306928294924752</c:v>
              </c:pt>
              <c:pt idx="6">
                <c:v>0.96457269993450601</c:v>
              </c:pt>
              <c:pt idx="7">
                <c:v>0.96117101517963721</c:v>
              </c:pt>
              <c:pt idx="8">
                <c:v>0.76829024750525521</c:v>
              </c:pt>
              <c:pt idx="9">
                <c:v>0.64420476834743379</c:v>
              </c:pt>
              <c:pt idx="10">
                <c:v>0.63992148498878954</c:v>
              </c:pt>
              <c:pt idx="11">
                <c:v>0.53662398545855383</c:v>
              </c:pt>
            </c:numLit>
          </c:val>
          <c:smooth val="1"/>
        </c:ser>
        <c:ser>
          <c:idx val="2"/>
          <c:order val="8"/>
          <c:spPr>
            <a:ln w="50800">
              <a:solidFill>
                <a:schemeClr val="tx1"/>
              </a:solidFill>
            </a:ln>
          </c:spPr>
          <c:marker>
            <c:symbol val="none"/>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ser>
        <c:dLbls>
          <c:showLegendKey val="0"/>
          <c:showVal val="0"/>
          <c:showCatName val="0"/>
          <c:showSerName val="0"/>
          <c:showPercent val="0"/>
          <c:showBubbleSize val="0"/>
        </c:dLbls>
        <c:marker val="1"/>
        <c:smooth val="0"/>
        <c:axId val="634652336"/>
        <c:axId val="634645672"/>
      </c:lineChart>
      <c:catAx>
        <c:axId val="634652336"/>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0883480250350581"/>
              <c:y val="0.78530019375117022"/>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45672"/>
        <c:crossesAt val="0"/>
        <c:auto val="1"/>
        <c:lblAlgn val="ctr"/>
        <c:lblOffset val="100"/>
        <c:tickLblSkip val="1"/>
        <c:tickMarkSkip val="1"/>
        <c:noMultiLvlLbl val="0"/>
      </c:catAx>
      <c:valAx>
        <c:axId val="634645672"/>
        <c:scaling>
          <c:orientation val="minMax"/>
          <c:max val="2.1"/>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candidats (% moyenne nationale)</a:t>
                </a:r>
                <a:endParaRPr lang="fr-FR" sz="1200"/>
              </a:p>
            </c:rich>
          </c:tx>
          <c:layout>
            <c:manualLayout>
              <c:xMode val="edge"/>
              <c:yMode val="edge"/>
              <c:x val="2.7718961931617134E-3"/>
              <c:y val="5.574654446931121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52336"/>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35639777891547336"/>
          <c:y val="0.10342848110955143"/>
          <c:w val="0.30659089073999962"/>
          <c:h val="0.14515983762347026"/>
        </c:manualLayout>
      </c:layout>
      <c:overlay val="0"/>
      <c:spPr>
        <a:solidFill>
          <a:schemeClr val="bg1"/>
        </a:solidFill>
        <a:ln w="28575">
          <a:solidFill>
            <a:schemeClr val="tx1"/>
          </a:solidFill>
        </a:ln>
      </c:spPr>
      <c:txPr>
        <a:bodyPr/>
        <a:lstStyle/>
        <a:p>
          <a:pPr>
            <a:defRPr sz="15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28. Les élections européennes 2014 et la richesse</a:t>
            </a:r>
            <a:endParaRPr lang="fr-FR" sz="2000" b="0" baseline="0">
              <a:latin typeface="Arial" panose="020B0604020202020204" pitchFamily="34" charset="0"/>
              <a:cs typeface="Arial" panose="020B0604020202020204" pitchFamily="34" charset="0"/>
            </a:endParaRPr>
          </a:p>
        </c:rich>
      </c:tx>
      <c:layout>
        <c:manualLayout>
          <c:xMode val="edge"/>
          <c:yMode val="edge"/>
          <c:x val="0.15186449926250781"/>
          <c:y val="2.2030681290069517E-3"/>
        </c:manualLayout>
      </c:layout>
      <c:overlay val="0"/>
      <c:spPr>
        <a:noFill/>
        <a:ln w="25400">
          <a:noFill/>
        </a:ln>
      </c:spPr>
    </c:title>
    <c:autoTitleDeleted val="0"/>
    <c:plotArea>
      <c:layout>
        <c:manualLayout>
          <c:layoutTarget val="inner"/>
          <c:xMode val="edge"/>
          <c:yMode val="edge"/>
          <c:x val="0.10234307699066557"/>
          <c:y val="5.6647840996558375E-2"/>
          <c:w val="0.85328418233501813"/>
          <c:h val="0.67664617575472175"/>
        </c:manualLayout>
      </c:layout>
      <c:lineChart>
        <c:grouping val="standard"/>
        <c:varyColors val="0"/>
        <c:ser>
          <c:idx val="1"/>
          <c:order val="0"/>
          <c:tx>
            <c:v>LO</c:v>
          </c:tx>
          <c:spPr>
            <a:ln w="50800">
              <a:solidFill>
                <a:srgbClr val="C00000"/>
              </a:solidFill>
            </a:ln>
          </c:spPr>
          <c:marker>
            <c:symbol val="square"/>
            <c:size val="11"/>
            <c:spPr>
              <a:solidFill>
                <a:srgbClr val="C00000"/>
              </a:solidFill>
              <a:ln>
                <a:solidFill>
                  <a:srgbClr val="C0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1.5506259732110661</c:v>
              </c:pt>
              <c:pt idx="1">
                <c:v>1.2749388515192408</c:v>
              </c:pt>
              <c:pt idx="2">
                <c:v>1.2563640560894433</c:v>
              </c:pt>
              <c:pt idx="3">
                <c:v>1.1649625294571502</c:v>
              </c:pt>
              <c:pt idx="4">
                <c:v>1.0783225561411449</c:v>
              </c:pt>
              <c:pt idx="5">
                <c:v>1.0185469473297695</c:v>
              </c:pt>
              <c:pt idx="6">
                <c:v>0.90128813398451801</c:v>
              </c:pt>
              <c:pt idx="7">
                <c:v>0.80025086709644755</c:v>
              </c:pt>
              <c:pt idx="8">
                <c:v>0.65700960412490161</c:v>
              </c:pt>
              <c:pt idx="9">
                <c:v>0.29769048104631979</c:v>
              </c:pt>
              <c:pt idx="10">
                <c:v>0.18476770846965374</c:v>
              </c:pt>
              <c:pt idx="11">
                <c:v>0.05</c:v>
              </c:pt>
            </c:numLit>
          </c:val>
          <c:smooth val="1"/>
        </c:ser>
        <c:ser>
          <c:idx val="4"/>
          <c:order val="1"/>
          <c:tx>
            <c:v>FG</c:v>
          </c:tx>
          <c:spPr>
            <a:ln w="50800">
              <a:solidFill>
                <a:srgbClr val="FF0000"/>
              </a:solidFill>
            </a:ln>
          </c:spPr>
          <c:marker>
            <c:symbol val="circle"/>
            <c:size val="11"/>
            <c:spPr>
              <a:solidFill>
                <a:srgbClr val="FF0000"/>
              </a:solidFill>
              <a:ln>
                <a:solidFill>
                  <a:srgbClr val="FF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1.448552437319913</c:v>
              </c:pt>
              <c:pt idx="1">
                <c:v>1.2110194226783515</c:v>
              </c:pt>
              <c:pt idx="2">
                <c:v>1.2190230514303884</c:v>
              </c:pt>
              <c:pt idx="3">
                <c:v>1.1565295475589243</c:v>
              </c:pt>
              <c:pt idx="4">
                <c:v>1.0861642333640744</c:v>
              </c:pt>
              <c:pt idx="5">
                <c:v>1.1127151077420214</c:v>
              </c:pt>
              <c:pt idx="6">
                <c:v>0.93934354586010393</c:v>
              </c:pt>
              <c:pt idx="7">
                <c:v>0.82125265248742219</c:v>
              </c:pt>
              <c:pt idx="8">
                <c:v>0.71544868417656138</c:v>
              </c:pt>
              <c:pt idx="9">
                <c:v>0.3899513173822392</c:v>
              </c:pt>
              <c:pt idx="10">
                <c:v>0.16636244795139432</c:v>
              </c:pt>
              <c:pt idx="11">
                <c:v>0.1</c:v>
              </c:pt>
            </c:numLit>
          </c:val>
          <c:smooth val="1"/>
        </c:ser>
        <c:ser>
          <c:idx val="8"/>
          <c:order val="2"/>
          <c:tx>
            <c:v>PS</c:v>
          </c:tx>
          <c:spPr>
            <a:ln w="50800">
              <a:solidFill>
                <a:srgbClr val="FC9AEC"/>
              </a:solidFill>
            </a:ln>
          </c:spPr>
          <c:marker>
            <c:symbol val="triangle"/>
            <c:size val="11"/>
            <c:spPr>
              <a:solidFill>
                <a:srgbClr val="FC9AEC"/>
              </a:solidFill>
              <a:ln>
                <a:solidFill>
                  <a:srgbClr val="FC9AEC"/>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1.0063460855897031</c:v>
              </c:pt>
              <c:pt idx="1">
                <c:v>0.99164279990965132</c:v>
              </c:pt>
              <c:pt idx="2">
                <c:v>1.0284259327064371</c:v>
              </c:pt>
              <c:pt idx="3">
                <c:v>1.0325918753318872</c:v>
              </c:pt>
              <c:pt idx="4">
                <c:v>1.0577861977737295</c:v>
              </c:pt>
              <c:pt idx="5">
                <c:v>1.0739778237293649</c:v>
              </c:pt>
              <c:pt idx="6">
                <c:v>1.0345812281959508</c:v>
              </c:pt>
              <c:pt idx="7">
                <c:v>0.9874673366186959</c:v>
              </c:pt>
              <c:pt idx="8">
                <c:v>0.96147372722385471</c:v>
              </c:pt>
              <c:pt idx="9">
                <c:v>0.82570699292072491</c:v>
              </c:pt>
              <c:pt idx="10">
                <c:v>0.78640976523253492</c:v>
              </c:pt>
              <c:pt idx="11">
                <c:v>0.51966281124777436</c:v>
              </c:pt>
            </c:numLit>
          </c:val>
          <c:smooth val="0"/>
        </c:ser>
        <c:ser>
          <c:idx val="3"/>
          <c:order val="3"/>
          <c:tx>
            <c:v>EELV</c:v>
          </c:tx>
          <c:spPr>
            <a:ln w="50800">
              <a:solidFill>
                <a:srgbClr val="00B050"/>
              </a:solidFill>
            </a:ln>
          </c:spPr>
          <c:marker>
            <c:symbol val="circle"/>
            <c:size val="11"/>
            <c:spPr>
              <a:solidFill>
                <a:srgbClr val="00B050"/>
              </a:solidFill>
              <a:ln>
                <a:solidFill>
                  <a:srgbClr val="00B05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0.87266612581060055</c:v>
              </c:pt>
              <c:pt idx="1">
                <c:v>0.91071286272827268</c:v>
              </c:pt>
              <c:pt idx="2">
                <c:v>0.95736865815827521</c:v>
              </c:pt>
              <c:pt idx="3">
                <c:v>0.94307660683378192</c:v>
              </c:pt>
              <c:pt idx="4">
                <c:v>1.0476823324687832</c:v>
              </c:pt>
              <c:pt idx="5">
                <c:v>1.1033145919617531</c:v>
              </c:pt>
              <c:pt idx="6">
                <c:v>1.0740722773423326</c:v>
              </c:pt>
              <c:pt idx="7">
                <c:v>1.0583848439094519</c:v>
              </c:pt>
              <c:pt idx="8">
                <c:v>1.099054802775479</c:v>
              </c:pt>
              <c:pt idx="9">
                <c:v>0.93366689801127034</c:v>
              </c:pt>
              <c:pt idx="10">
                <c:v>0.85059449505915907</c:v>
              </c:pt>
              <c:pt idx="11">
                <c:v>0.46008958487014012</c:v>
              </c:pt>
            </c:numLit>
          </c:val>
          <c:smooth val="1"/>
        </c:ser>
        <c:ser>
          <c:idx val="5"/>
          <c:order val="4"/>
          <c:tx>
            <c:v>Modem</c:v>
          </c:tx>
          <c:spPr>
            <a:ln w="50800">
              <a:solidFill>
                <a:srgbClr val="FFC000"/>
              </a:solidFill>
            </a:ln>
          </c:spPr>
          <c:marker>
            <c:spPr>
              <a:solidFill>
                <a:srgbClr val="FFC000"/>
              </a:solidFill>
              <a:ln>
                <a:solidFill>
                  <a:srgbClr val="FFC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0.81220311878840912</c:v>
              </c:pt>
              <c:pt idx="1">
                <c:v>0.87002578399266506</c:v>
              </c:pt>
              <c:pt idx="2">
                <c:v>0.89161287747888196</c:v>
              </c:pt>
              <c:pt idx="3">
                <c:v>0.88038619357777226</c:v>
              </c:pt>
              <c:pt idx="4">
                <c:v>0.95783430059411279</c:v>
              </c:pt>
              <c:pt idx="5">
                <c:v>0.97741161873760252</c:v>
              </c:pt>
              <c:pt idx="6">
                <c:v>1.0150413593754883</c:v>
              </c:pt>
              <c:pt idx="7">
                <c:v>1.06367102499989</c:v>
              </c:pt>
              <c:pt idx="8">
                <c:v>1.1257866072292111</c:v>
              </c:pt>
              <c:pt idx="9">
                <c:v>1.4060271152259665</c:v>
              </c:pt>
              <c:pt idx="10">
                <c:v>1.5086609766069103</c:v>
              </c:pt>
              <c:pt idx="11">
                <c:v>1.6355196620564609</c:v>
              </c:pt>
            </c:numLit>
          </c:val>
          <c:smooth val="1"/>
        </c:ser>
        <c:ser>
          <c:idx val="6"/>
          <c:order val="5"/>
          <c:tx>
            <c:v>UMP</c:v>
          </c:tx>
          <c:spPr>
            <a:ln w="50800">
              <a:solidFill>
                <a:srgbClr val="00B0F0"/>
              </a:solidFill>
            </a:ln>
          </c:spPr>
          <c:marker>
            <c:symbol val="triangle"/>
            <c:size val="11"/>
            <c:spPr>
              <a:solidFill>
                <a:srgbClr val="00B0F0"/>
              </a:solidFill>
              <a:ln>
                <a:solidFill>
                  <a:srgbClr val="00B0F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0.80936280256805704</c:v>
              </c:pt>
              <c:pt idx="1">
                <c:v>0.90951701518210037</c:v>
              </c:pt>
              <c:pt idx="2">
                <c:v>0.90198779570756771</c:v>
              </c:pt>
              <c:pt idx="3">
                <c:v>0.94071686037384572</c:v>
              </c:pt>
              <c:pt idx="4">
                <c:v>0.92223205832802835</c:v>
              </c:pt>
              <c:pt idx="5">
                <c:v>0.91358226127201736</c:v>
              </c:pt>
              <c:pt idx="6">
                <c:v>0.97709566278081184</c:v>
              </c:pt>
              <c:pt idx="7">
                <c:v>1.0606126407191105</c:v>
              </c:pt>
              <c:pt idx="8">
                <c:v>1.1208810301473526</c:v>
              </c:pt>
              <c:pt idx="9">
                <c:v>1.4440118729211089</c:v>
              </c:pt>
              <c:pt idx="10">
                <c:v>1.4961435087296988</c:v>
              </c:pt>
              <c:pt idx="11">
                <c:v>1.9702664604406219</c:v>
              </c:pt>
            </c:numLit>
          </c:val>
          <c:smooth val="1"/>
        </c:ser>
        <c:ser>
          <c:idx val="0"/>
          <c:order val="6"/>
          <c:tx>
            <c:v>DLR</c:v>
          </c:tx>
          <c:spPr>
            <a:ln w="50800">
              <a:solidFill>
                <a:schemeClr val="tx1"/>
              </a:solidFill>
            </a:ln>
          </c:spPr>
          <c:marker>
            <c:symbol val="square"/>
            <c:size val="11"/>
            <c:spPr>
              <a:solidFill>
                <a:schemeClr val="tx1"/>
              </a:solidFill>
              <a:ln>
                <a:solidFill>
                  <a:schemeClr val="tx1"/>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0.85335561941347493</c:v>
              </c:pt>
              <c:pt idx="1">
                <c:v>0.91415152649393772</c:v>
              </c:pt>
              <c:pt idx="2">
                <c:v>0.91377621845651458</c:v>
              </c:pt>
              <c:pt idx="3">
                <c:v>0.91530582091602375</c:v>
              </c:pt>
              <c:pt idx="4">
                <c:v>0.96403556129612911</c:v>
              </c:pt>
              <c:pt idx="5">
                <c:v>0.93206057292933642</c:v>
              </c:pt>
              <c:pt idx="6">
                <c:v>0.9930892183057175</c:v>
              </c:pt>
              <c:pt idx="7">
                <c:v>1.0352143317374392</c:v>
              </c:pt>
              <c:pt idx="8">
                <c:v>1.1160299870451253</c:v>
              </c:pt>
              <c:pt idx="9">
                <c:v>1.3629811434063015</c:v>
              </c:pt>
              <c:pt idx="10">
                <c:v>1.4660159577335463</c:v>
              </c:pt>
              <c:pt idx="11">
                <c:v>1.8253103454922401</c:v>
              </c:pt>
            </c:numLit>
          </c:val>
          <c:smooth val="1"/>
        </c:ser>
        <c:ser>
          <c:idx val="7"/>
          <c:order val="7"/>
          <c:tx>
            <c:v>FN</c:v>
          </c:tx>
          <c:spPr>
            <a:ln w="50800">
              <a:solidFill>
                <a:srgbClr val="7030A0"/>
              </a:solidFill>
            </a:ln>
          </c:spPr>
          <c:marker>
            <c:symbol val="circle"/>
            <c:size val="11"/>
            <c:spPr>
              <a:solidFill>
                <a:srgbClr val="7030A0"/>
              </a:solidFill>
              <a:ln>
                <a:solidFill>
                  <a:srgbClr val="7030A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1.1986611782117904</c:v>
              </c:pt>
              <c:pt idx="1">
                <c:v>1.1445861131773829</c:v>
              </c:pt>
              <c:pt idx="2">
                <c:v>1.0771449180071662</c:v>
              </c:pt>
              <c:pt idx="3">
                <c:v>1.0774216520129081</c:v>
              </c:pt>
              <c:pt idx="4">
                <c:v>1.0126129935592429</c:v>
              </c:pt>
              <c:pt idx="5">
                <c:v>0.96998766209570775</c:v>
              </c:pt>
              <c:pt idx="6">
                <c:v>0.97656102512651699</c:v>
              </c:pt>
              <c:pt idx="7">
                <c:v>0.94064434928028984</c:v>
              </c:pt>
              <c:pt idx="8">
                <c:v>0.86609582304591293</c:v>
              </c:pt>
              <c:pt idx="9">
                <c:v>0.736284285483082</c:v>
              </c:pt>
              <c:pt idx="10">
                <c:v>0.72977652355950684</c:v>
              </c:pt>
              <c:pt idx="11">
                <c:v>0.67178255451257851</c:v>
              </c:pt>
            </c:numLit>
          </c:val>
          <c:smooth val="1"/>
        </c:ser>
        <c:ser>
          <c:idx val="2"/>
          <c:order val="8"/>
          <c:spPr>
            <a:ln w="50800">
              <a:solidFill>
                <a:schemeClr val="tx1"/>
              </a:solidFill>
            </a:ln>
          </c:spPr>
          <c:marker>
            <c:symbol val="none"/>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ser>
        <c:dLbls>
          <c:showLegendKey val="0"/>
          <c:showVal val="0"/>
          <c:showCatName val="0"/>
          <c:showSerName val="0"/>
          <c:showPercent val="0"/>
          <c:showBubbleSize val="0"/>
        </c:dLbls>
        <c:marker val="1"/>
        <c:smooth val="0"/>
        <c:axId val="634652728"/>
        <c:axId val="634653904"/>
      </c:lineChart>
      <c:catAx>
        <c:axId val="634652728"/>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0883480250350581"/>
              <c:y val="0.78530019375117022"/>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53904"/>
        <c:crossesAt val="0"/>
        <c:auto val="1"/>
        <c:lblAlgn val="ctr"/>
        <c:lblOffset val="100"/>
        <c:tickLblSkip val="1"/>
        <c:tickMarkSkip val="1"/>
        <c:noMultiLvlLbl val="0"/>
      </c:catAx>
      <c:valAx>
        <c:axId val="634653904"/>
        <c:scaling>
          <c:orientation val="minMax"/>
          <c:max val="2"/>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candidats (% moyenne nationale)</a:t>
                </a:r>
                <a:endParaRPr lang="fr-FR" sz="1200"/>
              </a:p>
            </c:rich>
          </c:tx>
          <c:layout>
            <c:manualLayout>
              <c:xMode val="edge"/>
              <c:yMode val="edge"/>
              <c:x val="2.7718961931617134E-3"/>
              <c:y val="5.574654446931121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52728"/>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35639777891547336"/>
          <c:y val="0.10342848110955143"/>
          <c:w val="0.30659089073999962"/>
          <c:h val="0.14515983762347026"/>
        </c:manualLayout>
      </c:layout>
      <c:overlay val="0"/>
      <c:spPr>
        <a:solidFill>
          <a:schemeClr val="bg1"/>
        </a:solidFill>
        <a:ln w="28575">
          <a:solidFill>
            <a:schemeClr val="tx1"/>
          </a:solidFill>
        </a:ln>
      </c:spPr>
      <c:txPr>
        <a:bodyPr/>
        <a:lstStyle/>
        <a:p>
          <a:pPr>
            <a:defRPr sz="15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29. Les élections européennes 2019 et la richesse</a:t>
            </a:r>
            <a:endParaRPr lang="fr-FR" sz="2000" b="0" baseline="0">
              <a:latin typeface="Arial" panose="020B0604020202020204" pitchFamily="34" charset="0"/>
              <a:cs typeface="Arial" panose="020B0604020202020204" pitchFamily="34" charset="0"/>
            </a:endParaRPr>
          </a:p>
        </c:rich>
      </c:tx>
      <c:layout>
        <c:manualLayout>
          <c:xMode val="edge"/>
          <c:yMode val="edge"/>
          <c:x val="0.14635392626746993"/>
          <c:y val="2.2030681290069517E-3"/>
        </c:manualLayout>
      </c:layout>
      <c:overlay val="0"/>
      <c:spPr>
        <a:noFill/>
        <a:ln w="25400">
          <a:noFill/>
        </a:ln>
      </c:spPr>
    </c:title>
    <c:autoTitleDeleted val="0"/>
    <c:plotArea>
      <c:layout>
        <c:manualLayout>
          <c:layoutTarget val="inner"/>
          <c:xMode val="edge"/>
          <c:yMode val="edge"/>
          <c:x val="0.10234307699066557"/>
          <c:y val="5.6647840996558375E-2"/>
          <c:w val="0.85328418233501813"/>
          <c:h val="0.67664617575472175"/>
        </c:manualLayout>
      </c:layout>
      <c:lineChart>
        <c:grouping val="standard"/>
        <c:varyColors val="0"/>
        <c:ser>
          <c:idx val="1"/>
          <c:order val="0"/>
          <c:tx>
            <c:v>PCF</c:v>
          </c:tx>
          <c:spPr>
            <a:ln w="50800">
              <a:solidFill>
                <a:srgbClr val="C00000"/>
              </a:solidFill>
            </a:ln>
          </c:spPr>
          <c:marker>
            <c:symbol val="square"/>
            <c:size val="11"/>
            <c:spPr>
              <a:solidFill>
                <a:srgbClr val="C00000"/>
              </a:solidFill>
              <a:ln>
                <a:solidFill>
                  <a:srgbClr val="C0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1.5604175154052065</c:v>
              </c:pt>
              <c:pt idx="1">
                <c:v>1.2278098036778538</c:v>
              </c:pt>
              <c:pt idx="2">
                <c:v>1.2593972159665499</c:v>
              </c:pt>
              <c:pt idx="3">
                <c:v>1.1682183559314034</c:v>
              </c:pt>
              <c:pt idx="4">
                <c:v>1.0750071757147563</c:v>
              </c:pt>
              <c:pt idx="5">
                <c:v>1.0572301238952693</c:v>
              </c:pt>
              <c:pt idx="6">
                <c:v>0.94095449041734247</c:v>
              </c:pt>
              <c:pt idx="7">
                <c:v>0.78560518555954273</c:v>
              </c:pt>
              <c:pt idx="8">
                <c:v>0.69278122860978542</c:v>
              </c:pt>
              <c:pt idx="9">
                <c:v>0.23257890482228941</c:v>
              </c:pt>
              <c:pt idx="10">
                <c:v>0.11321152278309854</c:v>
              </c:pt>
              <c:pt idx="11">
                <c:v>0.1</c:v>
              </c:pt>
            </c:numLit>
          </c:val>
          <c:smooth val="1"/>
        </c:ser>
        <c:ser>
          <c:idx val="4"/>
          <c:order val="1"/>
          <c:tx>
            <c:v>LFI</c:v>
          </c:tx>
          <c:spPr>
            <a:ln w="50800">
              <a:solidFill>
                <a:srgbClr val="FF0000"/>
              </a:solidFill>
            </a:ln>
          </c:spPr>
          <c:marker>
            <c:symbol val="circle"/>
            <c:size val="11"/>
            <c:spPr>
              <a:solidFill>
                <a:srgbClr val="FF0000"/>
              </a:solidFill>
              <a:ln>
                <a:solidFill>
                  <a:srgbClr val="FF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1.3470474899723526</c:v>
              </c:pt>
              <c:pt idx="1">
                <c:v>1.2218451036196023</c:v>
              </c:pt>
              <c:pt idx="2">
                <c:v>1.1838089873170894</c:v>
              </c:pt>
              <c:pt idx="3">
                <c:v>1.1211632204355964</c:v>
              </c:pt>
              <c:pt idx="4">
                <c:v>1.0896393292629261</c:v>
              </c:pt>
              <c:pt idx="5">
                <c:v>1.0291572424633142</c:v>
              </c:pt>
              <c:pt idx="6">
                <c:v>0.99240746592545026</c:v>
              </c:pt>
              <c:pt idx="7">
                <c:v>0.86158036593456022</c:v>
              </c:pt>
              <c:pt idx="8">
                <c:v>0.75080817223249363</c:v>
              </c:pt>
              <c:pt idx="9">
                <c:v>0.40254262283661502</c:v>
              </c:pt>
              <c:pt idx="10">
                <c:v>0.30268057956943539</c:v>
              </c:pt>
              <c:pt idx="11">
                <c:v>0.1</c:v>
              </c:pt>
            </c:numLit>
          </c:val>
          <c:smooth val="1"/>
        </c:ser>
        <c:ser>
          <c:idx val="8"/>
          <c:order val="2"/>
          <c:tx>
            <c:v>PS</c:v>
          </c:tx>
          <c:spPr>
            <a:ln w="50800">
              <a:solidFill>
                <a:srgbClr val="FC9AEC"/>
              </a:solidFill>
            </a:ln>
          </c:spPr>
          <c:marker>
            <c:symbol val="triangle"/>
            <c:size val="11"/>
            <c:spPr>
              <a:solidFill>
                <a:srgbClr val="FC9AEC"/>
              </a:solidFill>
              <a:ln>
                <a:solidFill>
                  <a:srgbClr val="FC9AEC"/>
                </a:solidFill>
              </a:ln>
            </c:spPr>
          </c:marker>
          <c:val>
            <c:numLit>
              <c:formatCode>0%</c:formatCode>
              <c:ptCount val="12"/>
              <c:pt idx="0">
                <c:v>0.92178411513818914</c:v>
              </c:pt>
              <c:pt idx="1">
                <c:v>0.95107530844761745</c:v>
              </c:pt>
              <c:pt idx="2">
                <c:v>0.98349091398918165</c:v>
              </c:pt>
              <c:pt idx="3">
                <c:v>1.0298994016763197</c:v>
              </c:pt>
              <c:pt idx="4">
                <c:v>1.0217505466376686</c:v>
              </c:pt>
              <c:pt idx="5">
                <c:v>1.1152485910154715</c:v>
              </c:pt>
              <c:pt idx="6">
                <c:v>1.0586088550726525</c:v>
              </c:pt>
              <c:pt idx="7">
                <c:v>1.019407441587812</c:v>
              </c:pt>
              <c:pt idx="8">
                <c:v>1.0161179894078924</c:v>
              </c:pt>
              <c:pt idx="9">
                <c:v>0.88261683702719484</c:v>
              </c:pt>
              <c:pt idx="10">
                <c:v>0.86873555727790064</c:v>
              </c:pt>
              <c:pt idx="11">
                <c:v>0.52673997084009339</c:v>
              </c:pt>
            </c:numLit>
          </c:val>
          <c:smooth val="0"/>
        </c:ser>
        <c:ser>
          <c:idx val="3"/>
          <c:order val="3"/>
          <c:tx>
            <c:v>EELV</c:v>
          </c:tx>
          <c:spPr>
            <a:ln w="50800">
              <a:solidFill>
                <a:srgbClr val="00B050"/>
              </a:solidFill>
            </a:ln>
          </c:spPr>
          <c:marker>
            <c:symbol val="circle"/>
            <c:size val="11"/>
            <c:spPr>
              <a:solidFill>
                <a:srgbClr val="00B050"/>
              </a:solidFill>
              <a:ln>
                <a:solidFill>
                  <a:srgbClr val="00B050"/>
                </a:solidFill>
              </a:ln>
            </c:spPr>
          </c:marker>
          <c:val>
            <c:numLit>
              <c:formatCode>0%</c:formatCode>
              <c:ptCount val="12"/>
              <c:pt idx="0">
                <c:v>0.76908493553470048</c:v>
              </c:pt>
              <c:pt idx="1">
                <c:v>0.83169678183864959</c:v>
              </c:pt>
              <c:pt idx="2">
                <c:v>0.88570154086516906</c:v>
              </c:pt>
              <c:pt idx="3">
                <c:v>0.9590995974347124</c:v>
              </c:pt>
              <c:pt idx="4">
                <c:v>0.97800656811247966</c:v>
              </c:pt>
              <c:pt idx="5">
                <c:v>1.0750614268821734</c:v>
              </c:pt>
              <c:pt idx="6">
                <c:v>1.0879741622656636</c:v>
              </c:pt>
              <c:pt idx="7">
                <c:v>1.1167222691701364</c:v>
              </c:pt>
              <c:pt idx="8">
                <c:v>1.1761991016784965</c:v>
              </c:pt>
              <c:pt idx="9">
                <c:v>1.1204536162178187</c:v>
              </c:pt>
              <c:pt idx="10">
                <c:v>1.1199233152377159</c:v>
              </c:pt>
              <c:pt idx="11">
                <c:v>0.7415615204487791</c:v>
              </c:pt>
            </c:numLit>
          </c:val>
          <c:smooth val="1"/>
        </c:ser>
        <c:ser>
          <c:idx val="5"/>
          <c:order val="4"/>
          <c:tx>
            <c:v>Renaissance</c:v>
          </c:tx>
          <c:spPr>
            <a:ln w="50800">
              <a:solidFill>
                <a:srgbClr val="FFC000"/>
              </a:solidFill>
            </a:ln>
          </c:spPr>
          <c:marker>
            <c:spPr>
              <a:solidFill>
                <a:srgbClr val="FFC000"/>
              </a:solidFill>
              <a:ln>
                <a:solidFill>
                  <a:srgbClr val="FFC000"/>
                </a:solidFill>
              </a:ln>
            </c:spPr>
          </c:marker>
          <c:val>
            <c:numLit>
              <c:formatCode>0%</c:formatCode>
              <c:ptCount val="12"/>
              <c:pt idx="0">
                <c:v>0.7500273254912152</c:v>
              </c:pt>
              <c:pt idx="1">
                <c:v>0.84122359418180104</c:v>
              </c:pt>
              <c:pt idx="2">
                <c:v>0.87190605589843595</c:v>
              </c:pt>
              <c:pt idx="3">
                <c:v>0.90172989174281881</c:v>
              </c:pt>
              <c:pt idx="4">
                <c:v>0.93221291505450399</c:v>
              </c:pt>
              <c:pt idx="5">
                <c:v>0.98911682422149205</c:v>
              </c:pt>
              <c:pt idx="6">
                <c:v>1.0055329199687579</c:v>
              </c:pt>
              <c:pt idx="7">
                <c:v>1.07095967976114</c:v>
              </c:pt>
              <c:pt idx="8">
                <c:v>1.1748290577924181</c:v>
              </c:pt>
              <c:pt idx="9">
                <c:v>1.4624617358874168</c:v>
              </c:pt>
              <c:pt idx="10">
                <c:v>1.5224991442198093</c:v>
              </c:pt>
              <c:pt idx="11">
                <c:v>1.9524908320753864</c:v>
              </c:pt>
            </c:numLit>
          </c:val>
          <c:smooth val="1"/>
        </c:ser>
        <c:ser>
          <c:idx val="6"/>
          <c:order val="5"/>
          <c:tx>
            <c:v>LR</c:v>
          </c:tx>
          <c:spPr>
            <a:ln w="50800">
              <a:solidFill>
                <a:srgbClr val="00B0F0"/>
              </a:solidFill>
            </a:ln>
          </c:spPr>
          <c:marker>
            <c:symbol val="triangle"/>
            <c:size val="11"/>
            <c:spPr>
              <a:solidFill>
                <a:srgbClr val="00B0F0"/>
              </a:solidFill>
              <a:ln>
                <a:solidFill>
                  <a:srgbClr val="00B0F0"/>
                </a:solidFill>
              </a:ln>
            </c:spPr>
          </c:marker>
          <c:val>
            <c:numLit>
              <c:formatCode>0%</c:formatCode>
              <c:ptCount val="12"/>
              <c:pt idx="0">
                <c:v>0.76195291521642394</c:v>
              </c:pt>
              <c:pt idx="1">
                <c:v>0.85697253562201015</c:v>
              </c:pt>
              <c:pt idx="2">
                <c:v>0.8805482745179054</c:v>
              </c:pt>
              <c:pt idx="3">
                <c:v>0.8942878914854081</c:v>
              </c:pt>
              <c:pt idx="4">
                <c:v>0.9283551321303507</c:v>
              </c:pt>
              <c:pt idx="5">
                <c:v>0.91954352401466588</c:v>
              </c:pt>
              <c:pt idx="6">
                <c:v>0.94440514451625079</c:v>
              </c:pt>
              <c:pt idx="7">
                <c:v>1.0450847683896316</c:v>
              </c:pt>
              <c:pt idx="8">
                <c:v>1.1720340180829316</c:v>
              </c:pt>
              <c:pt idx="9">
                <c:v>1.5968157960244211</c:v>
              </c:pt>
              <c:pt idx="10">
                <c:v>1.6959038722030391</c:v>
              </c:pt>
              <c:pt idx="11">
                <c:v>2.3942408713756413</c:v>
              </c:pt>
            </c:numLit>
          </c:val>
          <c:smooth val="1"/>
        </c:ser>
        <c:ser>
          <c:idx val="0"/>
          <c:order val="6"/>
          <c:tx>
            <c:v>DLF</c:v>
          </c:tx>
          <c:spPr>
            <a:ln w="50800">
              <a:solidFill>
                <a:schemeClr val="tx1"/>
              </a:solidFill>
            </a:ln>
          </c:spPr>
          <c:marker>
            <c:symbol val="square"/>
            <c:size val="11"/>
            <c:spPr>
              <a:solidFill>
                <a:schemeClr val="tx1"/>
              </a:solidFill>
              <a:ln>
                <a:solidFill>
                  <a:schemeClr val="tx1"/>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0.99946354958964445</c:v>
              </c:pt>
              <c:pt idx="1">
                <c:v>1.0387437959512111</c:v>
              </c:pt>
              <c:pt idx="2">
                <c:v>1.0317848670442735</c:v>
              </c:pt>
              <c:pt idx="3">
                <c:v>1.0081579534229541</c:v>
              </c:pt>
              <c:pt idx="4">
                <c:v>1.0325362259409738</c:v>
              </c:pt>
              <c:pt idx="5">
                <c:v>1.0038666151315045</c:v>
              </c:pt>
              <c:pt idx="6">
                <c:v>1.0115803640164112</c:v>
              </c:pt>
              <c:pt idx="7">
                <c:v>1.0499255263463398</c:v>
              </c:pt>
              <c:pt idx="8">
                <c:v>0.98709284616985293</c:v>
              </c:pt>
              <c:pt idx="9">
                <c:v>0.83684825638683435</c:v>
              </c:pt>
              <c:pt idx="10">
                <c:v>0.80761342355475019</c:v>
              </c:pt>
              <c:pt idx="11">
                <c:v>0.73643183068581664</c:v>
              </c:pt>
            </c:numLit>
          </c:val>
          <c:smooth val="1"/>
        </c:ser>
        <c:ser>
          <c:idx val="7"/>
          <c:order val="7"/>
          <c:tx>
            <c:v>RN</c:v>
          </c:tx>
          <c:spPr>
            <a:ln w="50800">
              <a:solidFill>
                <a:srgbClr val="7030A0"/>
              </a:solidFill>
            </a:ln>
          </c:spPr>
          <c:marker>
            <c:symbol val="circle"/>
            <c:size val="11"/>
            <c:spPr>
              <a:solidFill>
                <a:srgbClr val="7030A0"/>
              </a:solidFill>
              <a:ln>
                <a:solidFill>
                  <a:srgbClr val="7030A0"/>
                </a:solidFill>
              </a:ln>
            </c:spPr>
          </c:marker>
          <c:val>
            <c:numLit>
              <c:formatCode>0%</c:formatCode>
              <c:ptCount val="12"/>
              <c:pt idx="0">
                <c:v>1.2710604264204948</c:v>
              </c:pt>
              <c:pt idx="1">
                <c:v>1.2031005743306074</c:v>
              </c:pt>
              <c:pt idx="2">
                <c:v>1.1325318665736364</c:v>
              </c:pt>
              <c:pt idx="3">
                <c:v>1.0787407504537823</c:v>
              </c:pt>
              <c:pt idx="4">
                <c:v>1.047373479647546</c:v>
              </c:pt>
              <c:pt idx="5">
                <c:v>0.93960021800907612</c:v>
              </c:pt>
              <c:pt idx="6">
                <c:v>0.9461147123455087</c:v>
              </c:pt>
              <c:pt idx="7">
                <c:v>0.90009159015494511</c:v>
              </c:pt>
              <c:pt idx="8">
                <c:v>0.79353353899278933</c:v>
              </c:pt>
              <c:pt idx="9">
                <c:v>0.68785284307161576</c:v>
              </c:pt>
              <c:pt idx="10">
                <c:v>0.67201030479575696</c:v>
              </c:pt>
              <c:pt idx="11">
                <c:v>0.6048168578752845</c:v>
              </c:pt>
            </c:numLit>
          </c:val>
          <c:smooth val="1"/>
        </c:ser>
        <c:ser>
          <c:idx val="2"/>
          <c:order val="8"/>
          <c:spPr>
            <a:ln w="50800">
              <a:solidFill>
                <a:schemeClr val="dk1"/>
              </a:solidFill>
            </a:ln>
          </c:spPr>
          <c:marker>
            <c:symbol val="none"/>
          </c:marker>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ser>
        <c:dLbls>
          <c:showLegendKey val="0"/>
          <c:showVal val="0"/>
          <c:showCatName val="0"/>
          <c:showSerName val="0"/>
          <c:showPercent val="0"/>
          <c:showBubbleSize val="0"/>
        </c:dLbls>
        <c:marker val="1"/>
        <c:smooth val="0"/>
        <c:axId val="634647632"/>
        <c:axId val="634662920"/>
      </c:lineChart>
      <c:catAx>
        <c:axId val="634647632"/>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0883480250350581"/>
              <c:y val="0.78530019375117022"/>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62920"/>
        <c:crossesAt val="0"/>
        <c:auto val="1"/>
        <c:lblAlgn val="ctr"/>
        <c:lblOffset val="100"/>
        <c:tickLblSkip val="1"/>
        <c:tickMarkSkip val="1"/>
        <c:noMultiLvlLbl val="0"/>
      </c:catAx>
      <c:valAx>
        <c:axId val="634662920"/>
        <c:scaling>
          <c:orientation val="minMax"/>
          <c:max val="2.5"/>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candidats (% moyenne nationale)</a:t>
                </a:r>
                <a:endParaRPr lang="fr-FR" sz="1200"/>
              </a:p>
            </c:rich>
          </c:tx>
          <c:layout>
            <c:manualLayout>
              <c:xMode val="edge"/>
              <c:yMode val="edge"/>
              <c:x val="2.7718961931617134E-3"/>
              <c:y val="5.574654446931121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47632"/>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34248395500554196"/>
          <c:y val="0.1732686009854961"/>
          <c:w val="0.36224618637972483"/>
          <c:h val="0.14515983762347026"/>
        </c:manualLayout>
      </c:layout>
      <c:overlay val="0"/>
      <c:spPr>
        <a:solidFill>
          <a:schemeClr val="bg1"/>
        </a:solidFill>
        <a:ln w="28575">
          <a:solidFill>
            <a:schemeClr val="tx1"/>
          </a:solidFill>
        </a:ln>
      </c:spPr>
      <c:txPr>
        <a:bodyPr/>
        <a:lstStyle/>
        <a:p>
          <a:pPr>
            <a:defRPr sz="15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fr-FR" sz="1800" b="1" baseline="0"/>
              <a:t>Graph. 3. Ecarts de participation: communes riches et pauvres</a:t>
            </a:r>
          </a:p>
          <a:p>
            <a:pPr>
              <a:defRPr/>
            </a:pPr>
            <a:r>
              <a:rPr lang="fr-FR" sz="1800" b="0" baseline="0"/>
              <a:t>(élections européennes 1994-2024)</a:t>
            </a:r>
            <a:endParaRPr lang="fr-FR" sz="1800" b="0"/>
          </a:p>
        </c:rich>
      </c:tx>
      <c:layout>
        <c:manualLayout>
          <c:xMode val="edge"/>
          <c:yMode val="edge"/>
          <c:x val="0.16447881828469282"/>
          <c:y val="2.2366444435285475E-3"/>
        </c:manualLayout>
      </c:layout>
      <c:overlay val="0"/>
    </c:title>
    <c:autoTitleDeleted val="0"/>
    <c:plotArea>
      <c:layout>
        <c:manualLayout>
          <c:layoutTarget val="inner"/>
          <c:xMode val="edge"/>
          <c:yMode val="edge"/>
          <c:x val="0.1085413251169947"/>
          <c:y val="9.9589209419654989E-2"/>
          <c:w val="0.85664917674277352"/>
          <c:h val="0.69683633840924808"/>
        </c:manualLayout>
      </c:layout>
      <c:lineChart>
        <c:grouping val="standard"/>
        <c:varyColors val="0"/>
        <c:ser>
          <c:idx val="0"/>
          <c:order val="0"/>
          <c:tx>
            <c:v>Les 5% les plus riches/Les 5% les plus pauvres</c:v>
          </c:tx>
          <c:spPr>
            <a:ln w="50800">
              <a:solidFill>
                <a:srgbClr val="00B0F0"/>
              </a:solidFill>
            </a:ln>
          </c:spPr>
          <c:marker>
            <c:symbol val="diamond"/>
            <c:size val="12"/>
            <c:spPr>
              <a:solidFill>
                <a:srgbClr val="00B0F0"/>
              </a:solidFill>
              <a:ln>
                <a:solidFill>
                  <a:srgbClr val="00B0F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1.0225221862053644</c:v>
              </c:pt>
              <c:pt idx="5" formatCode="0%">
                <c:v>1.0918774865501415</c:v>
              </c:pt>
              <c:pt idx="10" formatCode="0%">
                <c:v>1.232409220484475</c:v>
              </c:pt>
              <c:pt idx="15" formatCode="0%">
                <c:v>1.3753131405324286</c:v>
              </c:pt>
              <c:pt idx="20" formatCode="0%">
                <c:v>1.3968618629571175</c:v>
              </c:pt>
              <c:pt idx="25" formatCode="0%">
                <c:v>1.2997867253605906</c:v>
              </c:pt>
              <c:pt idx="30" formatCode="0%">
                <c:v>1.2659870175054171</c:v>
              </c:pt>
            </c:numLit>
          </c:val>
          <c:smooth val="1"/>
        </c:ser>
        <c:ser>
          <c:idx val="2"/>
          <c:order val="1"/>
          <c:tx>
            <c:v>Les 10% les plus riches/Les 10% les plus pauvres</c:v>
          </c:tx>
          <c:spPr>
            <a:ln w="50800">
              <a:solidFill>
                <a:srgbClr val="FFC000"/>
              </a:solidFill>
            </a:ln>
          </c:spPr>
          <c:marker>
            <c:symbol val="circle"/>
            <c:size val="12"/>
            <c:spPr>
              <a:solidFill>
                <a:srgbClr val="FFC000"/>
              </a:solidFill>
              <a:ln>
                <a:solidFill>
                  <a:srgbClr val="FFC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1.0100041210357642</c:v>
              </c:pt>
              <c:pt idx="5" formatCode="0%">
                <c:v>1.0723488421734657</c:v>
              </c:pt>
              <c:pt idx="10" formatCode="0%">
                <c:v>1.1711210287357747</c:v>
              </c:pt>
              <c:pt idx="15" formatCode="0%">
                <c:v>1.2661271611293192</c:v>
              </c:pt>
              <c:pt idx="20" formatCode="0%">
                <c:v>1.2986673098598849</c:v>
              </c:pt>
              <c:pt idx="25" formatCode="0%">
                <c:v>1.2126746534735888</c:v>
              </c:pt>
              <c:pt idx="30" formatCode="0%">
                <c:v>1.232181487277197</c:v>
              </c:pt>
            </c:numLit>
          </c:val>
          <c:smooth val="1"/>
        </c:ser>
        <c:ser>
          <c:idx val="1"/>
          <c:order val="2"/>
          <c:tx>
            <c:v>Les 20% les plus riches/Les 20% les plus pauvres</c:v>
          </c:tx>
          <c:spPr>
            <a:ln w="50800">
              <a:solidFill>
                <a:srgbClr val="FF0000"/>
              </a:solidFill>
            </a:ln>
          </c:spPr>
          <c:marker>
            <c:symbol val="triangle"/>
            <c:size val="12"/>
            <c:spPr>
              <a:solidFill>
                <a:srgbClr val="FF0000"/>
              </a:solidFill>
              <a:ln>
                <a:solidFill>
                  <a:srgbClr val="FF0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0.99753809685213723</c:v>
              </c:pt>
              <c:pt idx="5" formatCode="0%">
                <c:v>1.0371959870269207</c:v>
              </c:pt>
              <c:pt idx="10" formatCode="0%">
                <c:v>1.1064336434128033</c:v>
              </c:pt>
              <c:pt idx="15" formatCode="0%">
                <c:v>1.1759427498198161</c:v>
              </c:pt>
              <c:pt idx="20" formatCode="0%">
                <c:v>1.1954557508162142</c:v>
              </c:pt>
              <c:pt idx="25" formatCode="0%">
                <c:v>1.1466280779961491</c:v>
              </c:pt>
              <c:pt idx="30" formatCode="0%">
                <c:v>1.1699960066382407</c:v>
              </c:pt>
            </c:numLit>
          </c:val>
          <c:smooth val="1"/>
        </c:ser>
        <c:ser>
          <c:idx val="3"/>
          <c:order val="3"/>
          <c:tx>
            <c:v>Les 50% les plus riches/Les 50% les plus pauvres</c:v>
          </c:tx>
          <c:spPr>
            <a:ln w="50800">
              <a:solidFill>
                <a:srgbClr val="00B050"/>
              </a:solidFill>
            </a:ln>
          </c:spPr>
          <c:marker>
            <c:symbol val="square"/>
            <c:size val="12"/>
            <c:spPr>
              <a:solidFill>
                <a:srgbClr val="00B050"/>
              </a:solidFill>
              <a:ln>
                <a:solidFill>
                  <a:srgbClr val="00B05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0.99251790888685409</c:v>
              </c:pt>
              <c:pt idx="5" formatCode="0%">
                <c:v>1.0165778254001596</c:v>
              </c:pt>
              <c:pt idx="10" formatCode="0%">
                <c:v>1.061582434068395</c:v>
              </c:pt>
              <c:pt idx="15" formatCode="0%">
                <c:v>1.0962363204846448</c:v>
              </c:pt>
              <c:pt idx="20" formatCode="0%">
                <c:v>1.1020561446011381</c:v>
              </c:pt>
              <c:pt idx="25" formatCode="0%">
                <c:v>1.0809892889246018</c:v>
              </c:pt>
              <c:pt idx="30" formatCode="0%">
                <c:v>1.0944597682190431</c:v>
              </c:pt>
            </c:numLit>
          </c:val>
          <c:smooth val="1"/>
        </c:ser>
        <c:ser>
          <c:idx val="4"/>
          <c:order val="4"/>
          <c:spPr>
            <a:ln w="50800">
              <a:solidFill>
                <a:sysClr val="windowText" lastClr="000000"/>
              </a:solidFill>
            </a:ln>
          </c:spPr>
          <c:marker>
            <c:symbol val="none"/>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numLit>
          </c:val>
          <c:smooth val="0"/>
        </c:ser>
        <c:dLbls>
          <c:showLegendKey val="0"/>
          <c:showVal val="0"/>
          <c:showCatName val="0"/>
          <c:showSerName val="0"/>
          <c:showPercent val="0"/>
          <c:showBubbleSize val="0"/>
        </c:dLbls>
        <c:marker val="1"/>
        <c:smooth val="0"/>
        <c:axId val="634615880"/>
        <c:axId val="634613136"/>
        <c:extLst/>
      </c:lineChart>
      <c:catAx>
        <c:axId val="6346158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3136"/>
        <c:crossesAt val="0"/>
        <c:auto val="1"/>
        <c:lblAlgn val="ctr"/>
        <c:lblOffset val="100"/>
        <c:tickLblSkip val="5"/>
        <c:tickMarkSkip val="5"/>
        <c:noMultiLvlLbl val="0"/>
      </c:catAx>
      <c:valAx>
        <c:axId val="634613136"/>
        <c:scaling>
          <c:orientation val="minMax"/>
          <c:max val="1.45"/>
          <c:min val="0.85000000000000009"/>
        </c:scaling>
        <c:delete val="0"/>
        <c:axPos val="l"/>
        <c:majorGridlines>
          <c:spPr>
            <a:ln w="12700">
              <a:solidFill>
                <a:srgbClr val="000000"/>
              </a:solidFill>
              <a:prstDash val="sysDash"/>
            </a:ln>
          </c:spPr>
        </c:majorGridlines>
        <c:title>
          <c:tx>
            <c:rich>
              <a:bodyPr/>
              <a:lstStyle/>
              <a:p>
                <a:pPr>
                  <a:defRPr sz="1300"/>
                </a:pPr>
                <a:r>
                  <a:rPr lang="fr-FR" sz="1200">
                    <a:latin typeface="Arial Narrow" panose="020B0606020202030204" pitchFamily="34" charset="0"/>
                  </a:rPr>
                  <a:t>Ratio</a:t>
                </a:r>
                <a:r>
                  <a:rPr lang="fr-FR" sz="1200" baseline="0">
                    <a:latin typeface="Arial Narrow" panose="020B0606020202030204" pitchFamily="34" charset="0"/>
                  </a:rPr>
                  <a:t> entre le taux de participation des 50% des communes les plus riches </a:t>
                </a:r>
              </a:p>
              <a:p>
                <a:pPr>
                  <a:defRPr sz="1300"/>
                </a:pPr>
                <a:r>
                  <a:rPr lang="fr-FR" sz="1200" baseline="0">
                    <a:latin typeface="Arial Narrow" panose="020B0606020202030204" pitchFamily="34" charset="0"/>
                  </a:rPr>
                  <a:t>et les plus pauvres, des 20% les plus riches et les plus pauvres, etc.</a:t>
                </a:r>
                <a:endParaRPr lang="fr-FR" sz="1200">
                  <a:latin typeface="Arial Narrow" panose="020B0606020202030204" pitchFamily="34" charset="0"/>
                </a:endParaRPr>
              </a:p>
            </c:rich>
          </c:tx>
          <c:layout>
            <c:manualLayout>
              <c:xMode val="edge"/>
              <c:yMode val="edge"/>
              <c:x val="3.0364030747253315E-5"/>
              <c:y val="5.6496813622370926E-2"/>
            </c:manualLayout>
          </c:layout>
          <c:overlay val="0"/>
        </c:title>
        <c:numFmt formatCode="#,##0.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5880"/>
        <c:crosses val="autoZero"/>
        <c:crossBetween val="midCat"/>
        <c:majorUnit val="5.000000000000001E-2"/>
      </c:valAx>
      <c:spPr>
        <a:noFill/>
        <a:ln w="25400">
          <a:solidFill>
            <a:schemeClr val="tx1"/>
          </a:solidFill>
        </a:ln>
      </c:spPr>
    </c:plotArea>
    <c:legend>
      <c:legendPos val="l"/>
      <c:layout>
        <c:manualLayout>
          <c:xMode val="edge"/>
          <c:yMode val="edge"/>
          <c:x val="0.34149289633554797"/>
          <c:y val="0.59654052811335345"/>
          <c:w val="0.56220915846938757"/>
          <c:h val="0.16545619464758846"/>
        </c:manualLayout>
      </c:layout>
      <c:overlay val="1"/>
      <c:spPr>
        <a:solidFill>
          <a:schemeClr val="bg1"/>
        </a:solidFill>
        <a:ln w="254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3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30. La tripartition sociale </a:t>
            </a:r>
            <a:r>
              <a:rPr lang="fr-FR" sz="2000" b="0" baseline="0">
                <a:latin typeface="Arial" panose="020B0604020202020204" pitchFamily="34" charset="0"/>
                <a:cs typeface="Arial" panose="020B0604020202020204" pitchFamily="34" charset="0"/>
              </a:rPr>
              <a:t>(européennes 2019)</a:t>
            </a:r>
          </a:p>
          <a:p>
            <a:pPr>
              <a:defRPr sz="1800" b="1" i="0" u="none" strike="noStrike" baseline="0">
                <a:solidFill>
                  <a:srgbClr val="000000"/>
                </a:solidFill>
                <a:latin typeface="Arial"/>
                <a:ea typeface="Arial"/>
                <a:cs typeface="Arial"/>
              </a:defRPr>
            </a:pPr>
            <a:endParaRPr lang="fr-FR" sz="1800" b="0" baseline="0">
              <a:latin typeface="Arial" panose="020B0604020202020204" pitchFamily="34" charset="0"/>
              <a:cs typeface="Arial" panose="020B0604020202020204" pitchFamily="34" charset="0"/>
            </a:endParaRPr>
          </a:p>
        </c:rich>
      </c:tx>
      <c:layout>
        <c:manualLayout>
          <c:xMode val="edge"/>
          <c:yMode val="edge"/>
          <c:x val="0.18113899825021873"/>
          <c:y val="2.2031283251755691E-3"/>
        </c:manualLayout>
      </c:layout>
      <c:overlay val="0"/>
      <c:spPr>
        <a:noFill/>
        <a:ln w="25400">
          <a:noFill/>
        </a:ln>
      </c:spPr>
    </c:title>
    <c:autoTitleDeleted val="0"/>
    <c:plotArea>
      <c:layout>
        <c:manualLayout>
          <c:layoutTarget val="inner"/>
          <c:xMode val="edge"/>
          <c:yMode val="edge"/>
          <c:x val="9.956107811674049E-2"/>
          <c:y val="5.8988881450547426E-2"/>
          <c:w val="0.85328418233501813"/>
          <c:h val="0.69682311978209199"/>
        </c:manualLayout>
      </c:layout>
      <c:lineChart>
        <c:grouping val="standard"/>
        <c:varyColors val="0"/>
        <c:ser>
          <c:idx val="1"/>
          <c:order val="0"/>
          <c:tx>
            <c:v>Bloc social-écologique (PS, EELV, LFI, PCF)</c:v>
          </c:tx>
          <c:spPr>
            <a:ln w="50800">
              <a:solidFill>
                <a:srgbClr val="FF0000"/>
              </a:solidFill>
            </a:ln>
          </c:spPr>
          <c:marker>
            <c:symbol val="triangle"/>
            <c:size val="11"/>
            <c:spPr>
              <a:solidFill>
                <a:srgbClr val="FF0000"/>
              </a:solidFill>
              <a:ln>
                <a:solidFill>
                  <a:srgbClr val="FF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1.0266815702483647</c:v>
              </c:pt>
              <c:pt idx="1">
                <c:v>0.9962443119507628</c:v>
              </c:pt>
              <c:pt idx="2">
                <c:v>1.0173086869047177</c:v>
              </c:pt>
              <c:pt idx="3">
                <c:v>1.0365485329132558</c:v>
              </c:pt>
              <c:pt idx="4">
                <c:v>1.0242860529272089</c:v>
              </c:pt>
              <c:pt idx="5">
                <c:v>1.0704662108886314</c:v>
              </c:pt>
              <c:pt idx="6">
                <c:v>1.0418237460426294</c:v>
              </c:pt>
              <c:pt idx="7">
                <c:v>1.0002907611201965</c:v>
              </c:pt>
              <c:pt idx="8">
                <c:v>0.9862377650421339</c:v>
              </c:pt>
              <c:pt idx="9">
                <c:v>0.80011236196209801</c:v>
              </c:pt>
              <c:pt idx="10">
                <c:v>0.76102039269282995</c:v>
              </c:pt>
              <c:pt idx="11">
                <c:v>0.38066824795382892</c:v>
              </c:pt>
            </c:numLit>
          </c:val>
          <c:smooth val="1"/>
          <c:extLst xmlns:c16r2="http://schemas.microsoft.com/office/drawing/2015/06/chart">
            <c:ext xmlns:c16="http://schemas.microsoft.com/office/drawing/2014/chart" uri="{C3380CC4-5D6E-409C-BE32-E72D297353CC}">
              <c16:uniqueId val="{00000000-9409-4943-8E64-3E200E7C4B7F}"/>
            </c:ext>
          </c:extLst>
        </c:ser>
        <c:ser>
          <c:idx val="5"/>
          <c:order val="1"/>
          <c:tx>
            <c:v>Bloc libéral-progressiste (Renaissance)</c:v>
          </c:tx>
          <c:spPr>
            <a:ln w="50800">
              <a:solidFill>
                <a:schemeClr val="accent4"/>
              </a:solidFill>
            </a:ln>
          </c:spPr>
          <c:marker>
            <c:symbol val="triangle"/>
            <c:size val="12"/>
            <c:spPr>
              <a:solidFill>
                <a:schemeClr val="accent4"/>
              </a:solidFill>
              <a:ln>
                <a:solidFill>
                  <a:schemeClr val="accent4"/>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0.76872648419401646</c:v>
              </c:pt>
              <c:pt idx="1">
                <c:v>0.83517873138974019</c:v>
              </c:pt>
              <c:pt idx="2">
                <c:v>0.86488657664230195</c:v>
              </c:pt>
              <c:pt idx="3">
                <c:v>0.90304246305314384</c:v>
              </c:pt>
              <c:pt idx="4">
                <c:v>0.92064318209112772</c:v>
              </c:pt>
              <c:pt idx="5">
                <c:v>0.99082140013837128</c:v>
              </c:pt>
              <c:pt idx="6">
                <c:v>1.0112310140455834</c:v>
              </c:pt>
              <c:pt idx="7">
                <c:v>1.0697921394683427</c:v>
              </c:pt>
              <c:pt idx="8">
                <c:v>1.1592963541267878</c:v>
              </c:pt>
              <c:pt idx="9">
                <c:v>1.4763816548505853</c:v>
              </c:pt>
              <c:pt idx="10">
                <c:v>1.5245384022880428</c:v>
              </c:pt>
              <c:pt idx="11">
                <c:v>1.8944772801349701</c:v>
              </c:pt>
            </c:numLit>
          </c:val>
          <c:smooth val="1"/>
          <c:extLst xmlns:c16r2="http://schemas.microsoft.com/office/drawing/2015/06/chart">
            <c:ext xmlns:c16="http://schemas.microsoft.com/office/drawing/2014/chart" uri="{C3380CC4-5D6E-409C-BE32-E72D297353CC}">
              <c16:uniqueId val="{00000001-9409-4943-8E64-3E200E7C4B7F}"/>
            </c:ext>
          </c:extLst>
        </c:ser>
        <c:ser>
          <c:idx val="7"/>
          <c:order val="2"/>
          <c:tx>
            <c:v>Bloc national-libéral (RN-LR-DLF)</c:v>
          </c:tx>
          <c:spPr>
            <a:ln w="50800">
              <a:solidFill>
                <a:srgbClr val="00B0F0"/>
              </a:solidFill>
            </a:ln>
          </c:spPr>
          <c:marker>
            <c:symbol val="circle"/>
            <c:size val="11"/>
            <c:spPr>
              <a:solidFill>
                <a:srgbClr val="00B0F0"/>
              </a:solidFill>
              <a:ln>
                <a:solidFill>
                  <a:srgbClr val="00B0F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1.11959408560692</c:v>
              </c:pt>
              <c:pt idx="1">
                <c:v>1.0919979790675689</c:v>
              </c:pt>
              <c:pt idx="2">
                <c:v>1.056158413712275</c:v>
              </c:pt>
              <c:pt idx="3">
                <c:v>1.0227965431394515</c:v>
              </c:pt>
              <c:pt idx="4">
                <c:v>1.016114160032966</c:v>
              </c:pt>
              <c:pt idx="5">
                <c:v>0.94671547880082041</c:v>
              </c:pt>
              <c:pt idx="6">
                <c:v>0.95814050733403</c:v>
              </c:pt>
              <c:pt idx="7">
                <c:v>0.95693458416077259</c:v>
              </c:pt>
              <c:pt idx="8">
                <c:v>0.91376714735808562</c:v>
              </c:pt>
              <c:pt idx="9">
                <c:v>0.91778110078711062</c:v>
              </c:pt>
              <c:pt idx="10">
                <c:v>0.92091807223968458</c:v>
              </c:pt>
              <c:pt idx="11">
                <c:v>1.0119442154872205</c:v>
              </c:pt>
            </c:numLit>
          </c:val>
          <c:smooth val="1"/>
          <c:extLst xmlns:c16r2="http://schemas.microsoft.com/office/drawing/2015/06/chart">
            <c:ext xmlns:c16="http://schemas.microsoft.com/office/drawing/2014/chart" uri="{C3380CC4-5D6E-409C-BE32-E72D297353CC}">
              <c16:uniqueId val="{00000002-9409-4943-8E64-3E200E7C4B7F}"/>
            </c:ext>
          </c:extLst>
        </c:ser>
        <c:ser>
          <c:idx val="2"/>
          <c:order val="3"/>
          <c:spPr>
            <a:ln w="50800">
              <a:solidFill>
                <a:schemeClr val="dk1"/>
              </a:solidFill>
            </a:ln>
          </c:spPr>
          <c:marker>
            <c:symbol val="none"/>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extLst xmlns:c16r2="http://schemas.microsoft.com/office/drawing/2015/06/chart">
            <c:ext xmlns:c16="http://schemas.microsoft.com/office/drawing/2014/chart" uri="{C3380CC4-5D6E-409C-BE32-E72D297353CC}">
              <c16:uniqueId val="{00000003-9409-4943-8E64-3E200E7C4B7F}"/>
            </c:ext>
          </c:extLst>
        </c:ser>
        <c:dLbls>
          <c:showLegendKey val="0"/>
          <c:showVal val="0"/>
          <c:showCatName val="0"/>
          <c:showSerName val="0"/>
          <c:showPercent val="0"/>
          <c:showBubbleSize val="0"/>
        </c:dLbls>
        <c:marker val="1"/>
        <c:smooth val="0"/>
        <c:axId val="634661352"/>
        <c:axId val="634661744"/>
        <c:extLst xmlns:c16r2="http://schemas.microsoft.com/office/drawing/2015/06/chart"/>
      </c:lineChart>
      <c:catAx>
        <c:axId val="634661352"/>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1161696796353596"/>
              <c:y val="0.8145721161874917"/>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61744"/>
        <c:crossesAt val="0"/>
        <c:auto val="1"/>
        <c:lblAlgn val="ctr"/>
        <c:lblOffset val="100"/>
        <c:tickLblSkip val="1"/>
        <c:tickMarkSkip val="1"/>
        <c:noMultiLvlLbl val="0"/>
      </c:catAx>
      <c:valAx>
        <c:axId val="634661744"/>
        <c:scaling>
          <c:orientation val="minMax"/>
          <c:max val="2"/>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blocs  (% moyenne nationale)</a:t>
                </a:r>
                <a:endParaRPr lang="fr-FR" sz="1200"/>
              </a:p>
            </c:rich>
          </c:tx>
          <c:layout>
            <c:manualLayout>
              <c:xMode val="edge"/>
              <c:yMode val="edge"/>
              <c:x val="2.7717171088345867E-3"/>
              <c:y val="8.2831673022716559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61352"/>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27286315889384277"/>
          <c:y val="0.13919420940162977"/>
          <c:w val="0.49160344254739463"/>
          <c:h val="0.11277575545400353"/>
        </c:manualLayout>
      </c:layout>
      <c:overlay val="0"/>
      <c:spPr>
        <a:solidFill>
          <a:schemeClr val="bg1"/>
        </a:solidFill>
        <a:ln w="28575">
          <a:solidFill>
            <a:schemeClr val="tx1"/>
          </a:solidFill>
        </a:ln>
      </c:spPr>
      <c:txPr>
        <a:bodyPr/>
        <a:lstStyle/>
        <a:p>
          <a:pPr>
            <a:defRPr sz="14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31. Les contradictions du bloc national-libéral </a:t>
            </a:r>
            <a:r>
              <a:rPr lang="fr-FR" sz="2000" b="0" baseline="0">
                <a:latin typeface="Arial" panose="020B0604020202020204" pitchFamily="34" charset="0"/>
                <a:cs typeface="Arial" panose="020B0604020202020204" pitchFamily="34" charset="0"/>
              </a:rPr>
              <a:t>(2019) </a:t>
            </a:r>
          </a:p>
        </c:rich>
      </c:tx>
      <c:layout>
        <c:manualLayout>
          <c:xMode val="edge"/>
          <c:yMode val="edge"/>
          <c:x val="0.1407393919510061"/>
          <c:y val="2.2031283251755691E-3"/>
        </c:manualLayout>
      </c:layout>
      <c:overlay val="0"/>
      <c:spPr>
        <a:noFill/>
        <a:ln w="25400">
          <a:noFill/>
        </a:ln>
      </c:spPr>
    </c:title>
    <c:autoTitleDeleted val="0"/>
    <c:plotArea>
      <c:layout>
        <c:manualLayout>
          <c:layoutTarget val="inner"/>
          <c:xMode val="edge"/>
          <c:yMode val="edge"/>
          <c:x val="9.956107811674049E-2"/>
          <c:y val="5.8900697080227847E-2"/>
          <c:w val="0.85328418233501813"/>
          <c:h val="0.69691132834440606"/>
        </c:manualLayout>
      </c:layout>
      <c:lineChart>
        <c:grouping val="standard"/>
        <c:varyColors val="0"/>
        <c:ser>
          <c:idx val="5"/>
          <c:order val="0"/>
          <c:tx>
            <c:v>Rassemblement national (RN)</c:v>
          </c:tx>
          <c:spPr>
            <a:ln w="50800">
              <a:solidFill>
                <a:srgbClr val="7030A0"/>
              </a:solidFill>
            </a:ln>
          </c:spPr>
          <c:marker>
            <c:symbol val="triangle"/>
            <c:size val="12"/>
            <c:spPr>
              <a:solidFill>
                <a:srgbClr val="7030A0"/>
              </a:solidFill>
              <a:ln>
                <a:solidFill>
                  <a:srgbClr val="7030A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1.2710604264204948</c:v>
              </c:pt>
              <c:pt idx="1">
                <c:v>1.2031005743306074</c:v>
              </c:pt>
              <c:pt idx="2">
                <c:v>1.1325318665736364</c:v>
              </c:pt>
              <c:pt idx="3">
                <c:v>1.0787407504537823</c:v>
              </c:pt>
              <c:pt idx="4">
                <c:v>1.047373479647546</c:v>
              </c:pt>
              <c:pt idx="5">
                <c:v>0.93960021800907612</c:v>
              </c:pt>
              <c:pt idx="6">
                <c:v>0.9461147123455087</c:v>
              </c:pt>
              <c:pt idx="7">
                <c:v>0.90009159015494511</c:v>
              </c:pt>
              <c:pt idx="8">
                <c:v>0.79353353899278933</c:v>
              </c:pt>
              <c:pt idx="9">
                <c:v>0.68785284307161576</c:v>
              </c:pt>
              <c:pt idx="10">
                <c:v>0.67201030479575696</c:v>
              </c:pt>
              <c:pt idx="11">
                <c:v>0.6048168578752845</c:v>
              </c:pt>
            </c:numLit>
          </c:val>
          <c:smooth val="1"/>
          <c:extLst xmlns:c16r2="http://schemas.microsoft.com/office/drawing/2015/06/chart">
            <c:ext xmlns:c16="http://schemas.microsoft.com/office/drawing/2014/chart" uri="{C3380CC4-5D6E-409C-BE32-E72D297353CC}">
              <c16:uniqueId val="{00000000-3ED2-7F4E-A278-CBE54F425956}"/>
            </c:ext>
          </c:extLst>
        </c:ser>
        <c:ser>
          <c:idx val="7"/>
          <c:order val="1"/>
          <c:tx>
            <c:v>Total Bloc national-libéral (RN-LR-DLF)</c:v>
          </c:tx>
          <c:spPr>
            <a:ln w="50800">
              <a:solidFill>
                <a:srgbClr val="00B0F0"/>
              </a:solidFill>
            </a:ln>
          </c:spPr>
          <c:marker>
            <c:symbol val="circle"/>
            <c:size val="11"/>
            <c:spPr>
              <a:solidFill>
                <a:srgbClr val="00B0F0"/>
              </a:solidFill>
              <a:ln>
                <a:solidFill>
                  <a:srgbClr val="00B0F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1.11959408560692</c:v>
              </c:pt>
              <c:pt idx="1">
                <c:v>1.0919979790675689</c:v>
              </c:pt>
              <c:pt idx="2">
                <c:v>1.056158413712275</c:v>
              </c:pt>
              <c:pt idx="3">
                <c:v>1.0227965431394515</c:v>
              </c:pt>
              <c:pt idx="4">
                <c:v>1.016114160032966</c:v>
              </c:pt>
              <c:pt idx="5">
                <c:v>0.94671547880082041</c:v>
              </c:pt>
              <c:pt idx="6">
                <c:v>0.95814050733403</c:v>
              </c:pt>
              <c:pt idx="7">
                <c:v>0.95693458416077259</c:v>
              </c:pt>
              <c:pt idx="8">
                <c:v>0.91376714735808562</c:v>
              </c:pt>
              <c:pt idx="9">
                <c:v>0.91778110078711062</c:v>
              </c:pt>
              <c:pt idx="10">
                <c:v>0.92091807223968458</c:v>
              </c:pt>
              <c:pt idx="11">
                <c:v>1.0119442154872205</c:v>
              </c:pt>
            </c:numLit>
          </c:val>
          <c:smooth val="1"/>
          <c:extLst xmlns:c16r2="http://schemas.microsoft.com/office/drawing/2015/06/chart">
            <c:ext xmlns:c16="http://schemas.microsoft.com/office/drawing/2014/chart" uri="{C3380CC4-5D6E-409C-BE32-E72D297353CC}">
              <c16:uniqueId val="{00000001-3ED2-7F4E-A278-CBE54F425956}"/>
            </c:ext>
          </c:extLst>
        </c:ser>
        <c:ser>
          <c:idx val="1"/>
          <c:order val="2"/>
          <c:tx>
            <c:v>Les Républicains (LR), divers droite</c:v>
          </c:tx>
          <c:spPr>
            <a:ln w="50800">
              <a:solidFill>
                <a:srgbClr val="0EEFFA"/>
              </a:solidFill>
            </a:ln>
          </c:spPr>
          <c:marker>
            <c:spPr>
              <a:solidFill>
                <a:srgbClr val="0EEFFA"/>
              </a:solidFill>
              <a:ln>
                <a:solidFill>
                  <a:srgbClr val="0EEFFA"/>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0.76195291521642394</c:v>
              </c:pt>
              <c:pt idx="1">
                <c:v>0.85697253562201015</c:v>
              </c:pt>
              <c:pt idx="2">
                <c:v>0.8805482745179054</c:v>
              </c:pt>
              <c:pt idx="3">
                <c:v>0.8942878914854081</c:v>
              </c:pt>
              <c:pt idx="4">
                <c:v>0.9283551321303507</c:v>
              </c:pt>
              <c:pt idx="5">
                <c:v>0.91954352401466588</c:v>
              </c:pt>
              <c:pt idx="6">
                <c:v>0.94440514451625079</c:v>
              </c:pt>
              <c:pt idx="7">
                <c:v>1.0450847683896316</c:v>
              </c:pt>
              <c:pt idx="8">
                <c:v>1.1720340180829316</c:v>
              </c:pt>
              <c:pt idx="9">
                <c:v>1.5968157960244211</c:v>
              </c:pt>
              <c:pt idx="10">
                <c:v>1.6959038722030391</c:v>
              </c:pt>
              <c:pt idx="11">
                <c:v>2.3942408713756413</c:v>
              </c:pt>
            </c:numLit>
          </c:val>
          <c:smooth val="0"/>
          <c:extLst xmlns:c16r2="http://schemas.microsoft.com/office/drawing/2015/06/chart">
            <c:ext xmlns:c16="http://schemas.microsoft.com/office/drawing/2014/chart" uri="{C3380CC4-5D6E-409C-BE32-E72D297353CC}">
              <c16:uniqueId val="{00000002-3ED2-7F4E-A278-CBE54F425956}"/>
            </c:ext>
          </c:extLst>
        </c:ser>
        <c:ser>
          <c:idx val="0"/>
          <c:order val="3"/>
          <c:tx>
            <c:v>Debout la France</c:v>
          </c:tx>
          <c:spPr>
            <a:ln w="50800">
              <a:solidFill>
                <a:schemeClr val="tx1"/>
              </a:solidFill>
            </a:ln>
          </c:spPr>
          <c:marker>
            <c:symbol val="diamond"/>
            <c:size val="11"/>
            <c:spPr>
              <a:solidFill>
                <a:schemeClr val="tx1"/>
              </a:solidFill>
              <a:ln>
                <a:solidFill>
                  <a:schemeClr val="tx1"/>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0.99946354958964445</c:v>
              </c:pt>
              <c:pt idx="1">
                <c:v>1.0387437959512111</c:v>
              </c:pt>
              <c:pt idx="2">
                <c:v>1.0317848670442735</c:v>
              </c:pt>
              <c:pt idx="3">
                <c:v>1.0081579534229541</c:v>
              </c:pt>
              <c:pt idx="4">
                <c:v>1.0325362259409738</c:v>
              </c:pt>
              <c:pt idx="5">
                <c:v>1.0038666151315045</c:v>
              </c:pt>
              <c:pt idx="6">
                <c:v>1.0115803640164112</c:v>
              </c:pt>
              <c:pt idx="7">
                <c:v>1.0499255263463398</c:v>
              </c:pt>
              <c:pt idx="8">
                <c:v>0.98709284616985293</c:v>
              </c:pt>
              <c:pt idx="9">
                <c:v>0.83684825638683435</c:v>
              </c:pt>
              <c:pt idx="10">
                <c:v>0.80761342355475019</c:v>
              </c:pt>
              <c:pt idx="11">
                <c:v>0.73643183068581664</c:v>
              </c:pt>
            </c:numLit>
          </c:val>
          <c:smooth val="1"/>
          <c:extLst xmlns:c16r2="http://schemas.microsoft.com/office/drawing/2015/06/chart">
            <c:ext xmlns:c16="http://schemas.microsoft.com/office/drawing/2014/chart" uri="{C3380CC4-5D6E-409C-BE32-E72D297353CC}">
              <c16:uniqueId val="{00000003-3ED2-7F4E-A278-CBE54F425956}"/>
            </c:ext>
          </c:extLst>
        </c:ser>
        <c:ser>
          <c:idx val="2"/>
          <c:order val="4"/>
          <c:spPr>
            <a:ln w="50800">
              <a:solidFill>
                <a:schemeClr val="dk1"/>
              </a:solidFill>
            </a:ln>
          </c:spPr>
          <c:marker>
            <c:symbol val="none"/>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extLst xmlns:c16r2="http://schemas.microsoft.com/office/drawing/2015/06/chart">
            <c:ext xmlns:c16="http://schemas.microsoft.com/office/drawing/2014/chart" uri="{C3380CC4-5D6E-409C-BE32-E72D297353CC}">
              <c16:uniqueId val="{00000004-3ED2-7F4E-A278-CBE54F425956}"/>
            </c:ext>
          </c:extLst>
        </c:ser>
        <c:dLbls>
          <c:showLegendKey val="0"/>
          <c:showVal val="0"/>
          <c:showCatName val="0"/>
          <c:showSerName val="0"/>
          <c:showPercent val="0"/>
          <c:showBubbleSize val="0"/>
        </c:dLbls>
        <c:marker val="1"/>
        <c:smooth val="0"/>
        <c:axId val="634659784"/>
        <c:axId val="634658608"/>
        <c:extLst xmlns:c16r2="http://schemas.microsoft.com/office/drawing/2015/06/chart"/>
      </c:lineChart>
      <c:catAx>
        <c:axId val="634659784"/>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1161696796353596"/>
              <c:y val="0.8145721161874917"/>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58608"/>
        <c:crossesAt val="0"/>
        <c:auto val="1"/>
        <c:lblAlgn val="ctr"/>
        <c:lblOffset val="100"/>
        <c:tickLblSkip val="1"/>
        <c:tickMarkSkip val="1"/>
        <c:noMultiLvlLbl val="0"/>
      </c:catAx>
      <c:valAx>
        <c:axId val="634658608"/>
        <c:scaling>
          <c:orientation val="minMax"/>
          <c:max val="2.5"/>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courants (% moyenne nationale)</a:t>
                </a:r>
                <a:endParaRPr lang="fr-FR" sz="1200"/>
              </a:p>
            </c:rich>
          </c:tx>
          <c:layout>
            <c:manualLayout>
              <c:xMode val="edge"/>
              <c:yMode val="edge"/>
              <c:x val="2.7717171088345867E-3"/>
              <c:y val="4.226227459448792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59784"/>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29925408093796446"/>
          <c:y val="0.16625653904946811"/>
          <c:w val="0.44851199271483894"/>
          <c:h val="0.14892319931206005"/>
        </c:manualLayout>
      </c:layout>
      <c:overlay val="0"/>
      <c:spPr>
        <a:solidFill>
          <a:schemeClr val="bg1"/>
        </a:solidFill>
        <a:ln w="28575">
          <a:solidFill>
            <a:schemeClr val="tx1"/>
          </a:solidFill>
        </a:ln>
      </c:spPr>
      <c:txPr>
        <a:bodyPr/>
        <a:lstStyle/>
        <a:p>
          <a:pPr>
            <a:defRPr sz="14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32. Les élections européennes 2024 et la richesse</a:t>
            </a:r>
            <a:endParaRPr lang="fr-FR" sz="2000" b="0" baseline="0">
              <a:latin typeface="Arial" panose="020B0604020202020204" pitchFamily="34" charset="0"/>
              <a:cs typeface="Arial" panose="020B0604020202020204" pitchFamily="34" charset="0"/>
            </a:endParaRPr>
          </a:p>
        </c:rich>
      </c:tx>
      <c:layout>
        <c:manualLayout>
          <c:xMode val="edge"/>
          <c:yMode val="edge"/>
          <c:x val="0.1533108382224356"/>
          <c:y val="2.2030681290069517E-3"/>
        </c:manualLayout>
      </c:layout>
      <c:overlay val="0"/>
      <c:spPr>
        <a:noFill/>
        <a:ln w="25400">
          <a:noFill/>
        </a:ln>
      </c:spPr>
    </c:title>
    <c:autoTitleDeleted val="0"/>
    <c:plotArea>
      <c:layout>
        <c:manualLayout>
          <c:layoutTarget val="inner"/>
          <c:xMode val="edge"/>
          <c:yMode val="edge"/>
          <c:x val="0.10234309778432514"/>
          <c:y val="5.8900697080227847E-2"/>
          <c:w val="0.85328418233501813"/>
          <c:h val="0.67664617575472175"/>
        </c:manualLayout>
      </c:layout>
      <c:lineChart>
        <c:grouping val="standard"/>
        <c:varyColors val="0"/>
        <c:ser>
          <c:idx val="1"/>
          <c:order val="0"/>
          <c:tx>
            <c:v>PCF</c:v>
          </c:tx>
          <c:spPr>
            <a:ln w="50800">
              <a:solidFill>
                <a:srgbClr val="C00000"/>
              </a:solidFill>
            </a:ln>
          </c:spPr>
          <c:marker>
            <c:symbol val="square"/>
            <c:size val="11"/>
            <c:spPr>
              <a:solidFill>
                <a:srgbClr val="C00000"/>
              </a:solidFill>
              <a:ln>
                <a:solidFill>
                  <a:srgbClr val="C0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1.2963878827248805</c:v>
              </c:pt>
              <c:pt idx="1">
                <c:v>1.2036735583286258</c:v>
              </c:pt>
              <c:pt idx="2">
                <c:v>1.164813132418689</c:v>
              </c:pt>
              <c:pt idx="3">
                <c:v>1.1582420768798409</c:v>
              </c:pt>
              <c:pt idx="4">
                <c:v>1.0898285979930453</c:v>
              </c:pt>
              <c:pt idx="5">
                <c:v>1.0680757004245636</c:v>
              </c:pt>
              <c:pt idx="6">
                <c:v>0.96016989174626732</c:v>
              </c:pt>
              <c:pt idx="7">
                <c:v>0.84668945802942908</c:v>
              </c:pt>
              <c:pt idx="8">
                <c:v>0.74349881469215851</c:v>
              </c:pt>
              <c:pt idx="9">
                <c:v>0.46862088676249858</c:v>
              </c:pt>
              <c:pt idx="10">
                <c:v>0.42106591952282046</c:v>
              </c:pt>
              <c:pt idx="11">
                <c:v>0.17993691822076174</c:v>
              </c:pt>
            </c:numLit>
          </c:val>
          <c:smooth val="1"/>
        </c:ser>
        <c:ser>
          <c:idx val="4"/>
          <c:order val="1"/>
          <c:tx>
            <c:v>LFI</c:v>
          </c:tx>
          <c:spPr>
            <a:ln w="50800">
              <a:solidFill>
                <a:srgbClr val="FF0000"/>
              </a:solidFill>
            </a:ln>
          </c:spPr>
          <c:marker>
            <c:symbol val="circle"/>
            <c:size val="11"/>
            <c:spPr>
              <a:solidFill>
                <a:srgbClr val="FF0000"/>
              </a:solidFill>
              <a:ln>
                <a:solidFill>
                  <a:srgbClr val="FF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1.6162499345801518</c:v>
              </c:pt>
              <c:pt idx="1">
                <c:v>1.261455082496413</c:v>
              </c:pt>
              <c:pt idx="2">
                <c:v>1.1459297101373576</c:v>
              </c:pt>
              <c:pt idx="3">
                <c:v>1.100595779430273</c:v>
              </c:pt>
              <c:pt idx="4">
                <c:v>1.0853550590687284</c:v>
              </c:pt>
              <c:pt idx="5">
                <c:v>1.0407365990532889</c:v>
              </c:pt>
              <c:pt idx="6">
                <c:v>0.98453554214397132</c:v>
              </c:pt>
              <c:pt idx="7">
                <c:v>0.87722552489982197</c:v>
              </c:pt>
              <c:pt idx="8">
                <c:v>0.74526386891726504</c:v>
              </c:pt>
              <c:pt idx="9">
                <c:v>0.24265289927272926</c:v>
              </c:pt>
              <c:pt idx="10">
                <c:v>0.15</c:v>
              </c:pt>
              <c:pt idx="11">
                <c:v>0.1</c:v>
              </c:pt>
            </c:numLit>
          </c:val>
          <c:smooth val="1"/>
        </c:ser>
        <c:ser>
          <c:idx val="8"/>
          <c:order val="2"/>
          <c:tx>
            <c:v>PS</c:v>
          </c:tx>
          <c:spPr>
            <a:ln w="50800">
              <a:solidFill>
                <a:srgbClr val="FC9AEC"/>
              </a:solidFill>
            </a:ln>
          </c:spPr>
          <c:marker>
            <c:symbol val="triangle"/>
            <c:size val="11"/>
            <c:spPr>
              <a:solidFill>
                <a:srgbClr val="FC9AEC"/>
              </a:solidFill>
              <a:ln>
                <a:solidFill>
                  <a:srgbClr val="FC9AEC"/>
                </a:solidFill>
              </a:ln>
            </c:spPr>
          </c:marker>
          <c:val>
            <c:numLit>
              <c:formatCode>0%</c:formatCode>
              <c:ptCount val="12"/>
              <c:pt idx="0">
                <c:v>0.77699470263109793</c:v>
              </c:pt>
              <c:pt idx="1">
                <c:v>0.83699560859675193</c:v>
              </c:pt>
              <c:pt idx="2">
                <c:v>0.91698058005910466</c:v>
              </c:pt>
              <c:pt idx="3">
                <c:v>0.96448821837296761</c:v>
              </c:pt>
              <c:pt idx="4">
                <c:v>0.97091673795149125</c:v>
              </c:pt>
              <c:pt idx="5">
                <c:v>1.0922237979077649</c:v>
              </c:pt>
              <c:pt idx="6">
                <c:v>1.0934198580912344</c:v>
              </c:pt>
              <c:pt idx="7">
                <c:v>1.075405766145813</c:v>
              </c:pt>
              <c:pt idx="8">
                <c:v>1.1255893694283563</c:v>
              </c:pt>
              <c:pt idx="9">
                <c:v>1.146985360815417</c:v>
              </c:pt>
              <c:pt idx="10">
                <c:v>1.1872598492842117</c:v>
              </c:pt>
              <c:pt idx="11">
                <c:v>0.89187406475912523</c:v>
              </c:pt>
            </c:numLit>
          </c:val>
          <c:smooth val="0"/>
        </c:ser>
        <c:ser>
          <c:idx val="3"/>
          <c:order val="3"/>
          <c:tx>
            <c:v>EELV</c:v>
          </c:tx>
          <c:spPr>
            <a:ln w="50800">
              <a:solidFill>
                <a:srgbClr val="00B050"/>
              </a:solidFill>
            </a:ln>
          </c:spPr>
          <c:marker>
            <c:symbol val="circle"/>
            <c:size val="11"/>
            <c:spPr>
              <a:solidFill>
                <a:srgbClr val="00B050"/>
              </a:solidFill>
              <a:ln>
                <a:solidFill>
                  <a:srgbClr val="00B050"/>
                </a:solidFill>
              </a:ln>
            </c:spPr>
          </c:marker>
          <c:val>
            <c:numLit>
              <c:formatCode>0%</c:formatCode>
              <c:ptCount val="12"/>
              <c:pt idx="0">
                <c:v>0.7594611867232417</c:v>
              </c:pt>
              <c:pt idx="1">
                <c:v>0.78085239469168166</c:v>
              </c:pt>
              <c:pt idx="2">
                <c:v>0.87163997062701482</c:v>
              </c:pt>
              <c:pt idx="3">
                <c:v>0.95440965790928223</c:v>
              </c:pt>
              <c:pt idx="4">
                <c:v>0.93534629807479619</c:v>
              </c:pt>
              <c:pt idx="5">
                <c:v>1.1133609789678753</c:v>
              </c:pt>
              <c:pt idx="6">
                <c:v>1.1355204296520758</c:v>
              </c:pt>
              <c:pt idx="7">
                <c:v>1.1111995368462262</c:v>
              </c:pt>
              <c:pt idx="8">
                <c:v>1.1735768499023345</c:v>
              </c:pt>
              <c:pt idx="9">
                <c:v>1.1646326966054716</c:v>
              </c:pt>
              <c:pt idx="10">
                <c:v>1.1873860881167086</c:v>
              </c:pt>
              <c:pt idx="11">
                <c:v>0.62214772219106329</c:v>
              </c:pt>
            </c:numLit>
          </c:val>
          <c:smooth val="1"/>
        </c:ser>
        <c:ser>
          <c:idx val="5"/>
          <c:order val="4"/>
          <c:tx>
            <c:v>Ensemble</c:v>
          </c:tx>
          <c:spPr>
            <a:ln w="50800">
              <a:solidFill>
                <a:srgbClr val="FFC000"/>
              </a:solidFill>
            </a:ln>
          </c:spPr>
          <c:marker>
            <c:spPr>
              <a:solidFill>
                <a:srgbClr val="FFC000"/>
              </a:solidFill>
              <a:ln>
                <a:solidFill>
                  <a:srgbClr val="FFC000"/>
                </a:solidFill>
              </a:ln>
            </c:spPr>
          </c:marker>
          <c:val>
            <c:numLit>
              <c:formatCode>0%</c:formatCode>
              <c:ptCount val="12"/>
              <c:pt idx="0">
                <c:v>0.78041146041360898</c:v>
              </c:pt>
              <c:pt idx="1">
                <c:v>0.81664302747342032</c:v>
              </c:pt>
              <c:pt idx="2">
                <c:v>0.87242632326523673</c:v>
              </c:pt>
              <c:pt idx="3">
                <c:v>0.90040240229276503</c:v>
              </c:pt>
              <c:pt idx="4">
                <c:v>0.91666281073930467</c:v>
              </c:pt>
              <c:pt idx="5">
                <c:v>0.95697564362037291</c:v>
              </c:pt>
              <c:pt idx="6">
                <c:v>1.0014681846490285</c:v>
              </c:pt>
              <c:pt idx="7">
                <c:v>1.0879346061708959</c:v>
              </c:pt>
              <c:pt idx="8">
                <c:v>1.1842489350977414</c:v>
              </c:pt>
              <c:pt idx="9">
                <c:v>1.4828266062776261</c:v>
              </c:pt>
              <c:pt idx="10">
                <c:v>1.5558934336517856</c:v>
              </c:pt>
              <c:pt idx="11">
                <c:v>1.9591643891132731</c:v>
              </c:pt>
            </c:numLit>
          </c:val>
          <c:smooth val="1"/>
        </c:ser>
        <c:ser>
          <c:idx val="6"/>
          <c:order val="5"/>
          <c:tx>
            <c:v>LR</c:v>
          </c:tx>
          <c:spPr>
            <a:ln w="50800">
              <a:solidFill>
                <a:srgbClr val="00B0F0"/>
              </a:solidFill>
            </a:ln>
          </c:spPr>
          <c:marker>
            <c:symbol val="triangle"/>
            <c:size val="11"/>
            <c:spPr>
              <a:solidFill>
                <a:srgbClr val="00B0F0"/>
              </a:solidFill>
              <a:ln>
                <a:solidFill>
                  <a:srgbClr val="00B0F0"/>
                </a:solidFill>
              </a:ln>
            </c:spPr>
          </c:marker>
          <c:val>
            <c:numLit>
              <c:formatCode>0%</c:formatCode>
              <c:ptCount val="12"/>
              <c:pt idx="0">
                <c:v>0.73399255383593642</c:v>
              </c:pt>
              <c:pt idx="1">
                <c:v>0.79301725186270133</c:v>
              </c:pt>
              <c:pt idx="2">
                <c:v>0.85002750308437847</c:v>
              </c:pt>
              <c:pt idx="3">
                <c:v>0.85997821171459643</c:v>
              </c:pt>
              <c:pt idx="4">
                <c:v>0.89900862521879321</c:v>
              </c:pt>
              <c:pt idx="5">
                <c:v>0.90376606768210743</c:v>
              </c:pt>
              <c:pt idx="6">
                <c:v>0.96620171588482529</c:v>
              </c:pt>
              <c:pt idx="7">
                <c:v>1.0745928175979389</c:v>
              </c:pt>
              <c:pt idx="8">
                <c:v>1.1785565944071976</c:v>
              </c:pt>
              <c:pt idx="9">
                <c:v>1.7408586587115247</c:v>
              </c:pt>
              <c:pt idx="10">
                <c:v>1.8646276271629889</c:v>
              </c:pt>
              <c:pt idx="11">
                <c:v>2.8468129583362023</c:v>
              </c:pt>
            </c:numLit>
          </c:val>
          <c:smooth val="1"/>
        </c:ser>
        <c:ser>
          <c:idx val="7"/>
          <c:order val="6"/>
          <c:tx>
            <c:v>RN</c:v>
          </c:tx>
          <c:spPr>
            <a:ln w="50800">
              <a:solidFill>
                <a:srgbClr val="7030A0"/>
              </a:solidFill>
            </a:ln>
          </c:spPr>
          <c:marker>
            <c:symbol val="circle"/>
            <c:size val="11"/>
            <c:spPr>
              <a:solidFill>
                <a:srgbClr val="7030A0"/>
              </a:solidFill>
              <a:ln>
                <a:solidFill>
                  <a:srgbClr val="7030A0"/>
                </a:solidFill>
              </a:ln>
            </c:spPr>
          </c:marker>
          <c:val>
            <c:numLit>
              <c:formatCode>0%</c:formatCode>
              <c:ptCount val="12"/>
              <c:pt idx="0">
                <c:v>1.1103317085816635</c:v>
              </c:pt>
              <c:pt idx="1">
                <c:v>1.1495308820155608</c:v>
              </c:pt>
              <c:pt idx="2">
                <c:v>1.0966997191941432</c:v>
              </c:pt>
              <c:pt idx="3">
                <c:v>1.0615588315019071</c:v>
              </c:pt>
              <c:pt idx="4">
                <c:v>1.0474847780248691</c:v>
              </c:pt>
              <c:pt idx="5">
                <c:v>0.97189864505158763</c:v>
              </c:pt>
              <c:pt idx="6">
                <c:v>0.95966725790578256</c:v>
              </c:pt>
              <c:pt idx="7">
                <c:v>0.93743575635113818</c:v>
              </c:pt>
              <c:pt idx="8">
                <c:v>0.87933807592601565</c:v>
              </c:pt>
              <c:pt idx="9">
                <c:v>0.78605434544733199</c:v>
              </c:pt>
              <c:pt idx="10">
                <c:v>0.77459514839237853</c:v>
              </c:pt>
              <c:pt idx="11">
                <c:v>0.75033040410898622</c:v>
              </c:pt>
            </c:numLit>
          </c:val>
          <c:smooth val="1"/>
        </c:ser>
        <c:ser>
          <c:idx val="0"/>
          <c:order val="7"/>
          <c:tx>
            <c:v>Reconquête</c:v>
          </c:tx>
          <c:spPr>
            <a:ln w="50800">
              <a:solidFill>
                <a:schemeClr val="tx1"/>
              </a:solidFill>
            </a:ln>
          </c:spPr>
          <c:marker>
            <c:symbol val="square"/>
            <c:size val="11"/>
            <c:spPr>
              <a:solidFill>
                <a:schemeClr val="tx1"/>
              </a:solidFill>
              <a:ln>
                <a:solidFill>
                  <a:schemeClr val="tx1"/>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0.817491260060905</c:v>
              </c:pt>
              <c:pt idx="1">
                <c:v>0.91222913256937732</c:v>
              </c:pt>
              <c:pt idx="2">
                <c:v>0.93071591954248234</c:v>
              </c:pt>
              <c:pt idx="3">
                <c:v>0.93087586118141608</c:v>
              </c:pt>
              <c:pt idx="4">
                <c:v>0.9843638096516284</c:v>
              </c:pt>
              <c:pt idx="5">
                <c:v>0.92461829370065451</c:v>
              </c:pt>
              <c:pt idx="6">
                <c:v>0.94660961051427794</c:v>
              </c:pt>
              <c:pt idx="7">
                <c:v>1.0369288710481337</c:v>
              </c:pt>
              <c:pt idx="8">
                <c:v>1.1064093274060669</c:v>
              </c:pt>
              <c:pt idx="9">
                <c:v>1.4097579143250585</c:v>
              </c:pt>
              <c:pt idx="10">
                <c:v>1.463229925238849</c:v>
              </c:pt>
              <c:pt idx="11">
                <c:v>2.0563300621150473</c:v>
              </c:pt>
            </c:numLit>
          </c:val>
          <c:smooth val="1"/>
        </c:ser>
        <c:ser>
          <c:idx val="2"/>
          <c:order val="8"/>
          <c:spPr>
            <a:ln w="50800">
              <a:solidFill>
                <a:schemeClr val="dk1"/>
              </a:solidFill>
            </a:ln>
          </c:spPr>
          <c:marker>
            <c:symbol val="none"/>
          </c:marker>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ser>
        <c:dLbls>
          <c:showLegendKey val="0"/>
          <c:showVal val="0"/>
          <c:showCatName val="0"/>
          <c:showSerName val="0"/>
          <c:showPercent val="0"/>
          <c:showBubbleSize val="0"/>
        </c:dLbls>
        <c:marker val="1"/>
        <c:smooth val="0"/>
        <c:axId val="634662136"/>
        <c:axId val="634660176"/>
      </c:lineChart>
      <c:catAx>
        <c:axId val="634662136"/>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0883480250350581"/>
              <c:y val="0.78530019375117022"/>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60176"/>
        <c:crossesAt val="0"/>
        <c:auto val="1"/>
        <c:lblAlgn val="ctr"/>
        <c:lblOffset val="100"/>
        <c:tickLblSkip val="1"/>
        <c:tickMarkSkip val="1"/>
        <c:noMultiLvlLbl val="0"/>
      </c:catAx>
      <c:valAx>
        <c:axId val="634660176"/>
        <c:scaling>
          <c:orientation val="minMax"/>
          <c:max val="2.9"/>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candidats (% moyenne nationale)</a:t>
                </a:r>
                <a:endParaRPr lang="fr-FR" sz="1200"/>
              </a:p>
            </c:rich>
          </c:tx>
          <c:layout>
            <c:manualLayout>
              <c:xMode val="edge"/>
              <c:yMode val="edge"/>
              <c:x val="2.7718961931617134E-3"/>
              <c:y val="5.574654446931121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62136"/>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34804948456951446"/>
          <c:y val="0.15073953005777199"/>
          <c:w val="0.36642033355270426"/>
          <c:h val="0.14515983762347026"/>
        </c:manualLayout>
      </c:layout>
      <c:overlay val="0"/>
      <c:spPr>
        <a:solidFill>
          <a:schemeClr val="bg1"/>
        </a:solidFill>
        <a:ln w="28575">
          <a:solidFill>
            <a:schemeClr val="tx1"/>
          </a:solidFill>
        </a:ln>
      </c:spPr>
      <c:txPr>
        <a:bodyPr/>
        <a:lstStyle/>
        <a:p>
          <a:pPr>
            <a:defRPr sz="15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Graph. 33. La tripartition sociale </a:t>
            </a:r>
            <a:r>
              <a:rPr lang="fr-FR" sz="2000" b="0" baseline="0">
                <a:latin typeface="Arial" panose="020B0604020202020204" pitchFamily="34" charset="0"/>
                <a:cs typeface="Arial" panose="020B0604020202020204" pitchFamily="34" charset="0"/>
              </a:rPr>
              <a:t>(européennes 2024)</a:t>
            </a:r>
          </a:p>
          <a:p>
            <a:pPr>
              <a:defRPr sz="1800" b="1" i="0" u="none" strike="noStrike" baseline="0">
                <a:solidFill>
                  <a:srgbClr val="000000"/>
                </a:solidFill>
                <a:latin typeface="Arial"/>
                <a:ea typeface="Arial"/>
                <a:cs typeface="Arial"/>
              </a:defRPr>
            </a:pPr>
            <a:endParaRPr lang="fr-FR" sz="1800" b="0" baseline="0">
              <a:latin typeface="Arial" panose="020B0604020202020204" pitchFamily="34" charset="0"/>
              <a:cs typeface="Arial" panose="020B0604020202020204" pitchFamily="34" charset="0"/>
            </a:endParaRPr>
          </a:p>
        </c:rich>
      </c:tx>
      <c:layout>
        <c:manualLayout>
          <c:xMode val="edge"/>
          <c:yMode val="edge"/>
          <c:x val="0.15887499999999999"/>
          <c:y val="2.2031283251755691E-3"/>
        </c:manualLayout>
      </c:layout>
      <c:overlay val="0"/>
      <c:spPr>
        <a:noFill/>
        <a:ln w="25400">
          <a:noFill/>
        </a:ln>
      </c:spPr>
    </c:title>
    <c:autoTitleDeleted val="0"/>
    <c:plotArea>
      <c:layout>
        <c:manualLayout>
          <c:layoutTarget val="inner"/>
          <c:xMode val="edge"/>
          <c:yMode val="edge"/>
          <c:x val="9.956107811674049E-2"/>
          <c:y val="5.8988881450547426E-2"/>
          <c:w val="0.85328418233501813"/>
          <c:h val="0.69682311978209199"/>
        </c:manualLayout>
      </c:layout>
      <c:lineChart>
        <c:grouping val="standard"/>
        <c:varyColors val="0"/>
        <c:ser>
          <c:idx val="1"/>
          <c:order val="0"/>
          <c:tx>
            <c:v>Bloc social-écologique (PS, EELV, LFI, PCF)</c:v>
          </c:tx>
          <c:spPr>
            <a:ln w="50800">
              <a:solidFill>
                <a:srgbClr val="FF0000"/>
              </a:solidFill>
            </a:ln>
          </c:spPr>
          <c:marker>
            <c:symbol val="triangle"/>
            <c:size val="11"/>
            <c:spPr>
              <a:solidFill>
                <a:srgbClr val="FF0000"/>
              </a:solidFill>
              <a:ln>
                <a:solidFill>
                  <a:srgbClr val="FF00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1.0727069789535455</c:v>
              </c:pt>
              <c:pt idx="1">
                <c:v>0.99407462389011947</c:v>
              </c:pt>
              <c:pt idx="2">
                <c:v>1.0037266006112706</c:v>
              </c:pt>
              <c:pt idx="3">
                <c:v>1.022069283939224</c:v>
              </c:pt>
              <c:pt idx="4">
                <c:v>1.01128064124407</c:v>
              </c:pt>
              <c:pt idx="5">
                <c:v>1.0722157405206081</c:v>
              </c:pt>
              <c:pt idx="6">
                <c:v>1.0504183568262946</c:v>
              </c:pt>
              <c:pt idx="7">
                <c:v>0.99934732408033544</c:v>
              </c:pt>
              <c:pt idx="8">
                <c:v>0.98183429007461531</c:v>
              </c:pt>
              <c:pt idx="9">
                <c:v>0.79232615985991617</c:v>
              </c:pt>
              <c:pt idx="10">
                <c:v>0.7405071033626075</c:v>
              </c:pt>
              <c:pt idx="11">
                <c:v>0.32365802338307548</c:v>
              </c:pt>
            </c:numLit>
          </c:val>
          <c:smooth val="1"/>
          <c:extLst xmlns:c16r2="http://schemas.microsoft.com/office/drawing/2015/06/chart">
            <c:ext xmlns:c16="http://schemas.microsoft.com/office/drawing/2014/chart" uri="{C3380CC4-5D6E-409C-BE32-E72D297353CC}">
              <c16:uniqueId val="{00000000-9409-4943-8E64-3E200E7C4B7F}"/>
            </c:ext>
          </c:extLst>
        </c:ser>
        <c:ser>
          <c:idx val="5"/>
          <c:order val="1"/>
          <c:tx>
            <c:v>Bloc libéral-progressiste (Ensemble)</c:v>
          </c:tx>
          <c:spPr>
            <a:ln w="50800">
              <a:solidFill>
                <a:schemeClr val="accent4"/>
              </a:solidFill>
            </a:ln>
          </c:spPr>
          <c:marker>
            <c:symbol val="triangle"/>
            <c:size val="12"/>
            <c:spPr>
              <a:solidFill>
                <a:schemeClr val="accent4"/>
              </a:solidFill>
              <a:ln>
                <a:solidFill>
                  <a:schemeClr val="accent4"/>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0.80312140282057687</c:v>
              </c:pt>
              <c:pt idx="1">
                <c:v>0.81688225886038313</c:v>
              </c:pt>
              <c:pt idx="2">
                <c:v>0.8675289729937562</c:v>
              </c:pt>
              <c:pt idx="3">
                <c:v>0.9027477867954723</c:v>
              </c:pt>
              <c:pt idx="4">
                <c:v>0.90731811856410982</c:v>
              </c:pt>
              <c:pt idx="5">
                <c:v>0.96274379902708618</c:v>
              </c:pt>
              <c:pt idx="6">
                <c:v>1.0018431014022227</c:v>
              </c:pt>
              <c:pt idx="7">
                <c:v>1.078567000038833</c:v>
              </c:pt>
              <c:pt idx="8">
                <c:v>1.163856474405639</c:v>
              </c:pt>
              <c:pt idx="9">
                <c:v>1.4953910850919203</c:v>
              </c:pt>
              <c:pt idx="10">
                <c:v>1.5605968181253194</c:v>
              </c:pt>
              <c:pt idx="11">
                <c:v>1.9115893591385049</c:v>
              </c:pt>
            </c:numLit>
          </c:val>
          <c:smooth val="1"/>
          <c:extLst xmlns:c16r2="http://schemas.microsoft.com/office/drawing/2015/06/chart">
            <c:ext xmlns:c16="http://schemas.microsoft.com/office/drawing/2014/chart" uri="{C3380CC4-5D6E-409C-BE32-E72D297353CC}">
              <c16:uniqueId val="{00000001-9409-4943-8E64-3E200E7C4B7F}"/>
            </c:ext>
          </c:extLst>
        </c:ser>
        <c:ser>
          <c:idx val="7"/>
          <c:order val="2"/>
          <c:tx>
            <c:v>Bloc national-libéral (RN-LR-Reconquête)</c:v>
          </c:tx>
          <c:spPr>
            <a:ln w="50800">
              <a:solidFill>
                <a:srgbClr val="00B0F0"/>
              </a:solidFill>
            </a:ln>
          </c:spPr>
          <c:marker>
            <c:symbol val="circle"/>
            <c:size val="11"/>
            <c:spPr>
              <a:solidFill>
                <a:srgbClr val="00B0F0"/>
              </a:solidFill>
              <a:ln>
                <a:solidFill>
                  <a:srgbClr val="00B0F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1.0125808734148862</c:v>
              </c:pt>
              <c:pt idx="1">
                <c:v>1.0584904598500446</c:v>
              </c:pt>
              <c:pt idx="2">
                <c:v>1.0346542813933488</c:v>
              </c:pt>
              <c:pt idx="3">
                <c:v>1.0129513571203499</c:v>
              </c:pt>
              <c:pt idx="4">
                <c:v>1.0159489613421537</c:v>
              </c:pt>
              <c:pt idx="5">
                <c:v>0.95991304912670516</c:v>
              </c:pt>
              <c:pt idx="6">
                <c:v>0.96275999632714637</c:v>
              </c:pt>
              <c:pt idx="7">
                <c:v>0.9743751117564835</c:v>
              </c:pt>
              <c:pt idx="8">
                <c:v>0.95876574100566336</c:v>
              </c:pt>
              <c:pt idx="9">
                <c:v>1.0095601686632181</c:v>
              </c:pt>
              <c:pt idx="10">
                <c:v>1.0255449088993176</c:v>
              </c:pt>
              <c:pt idx="11">
                <c:v>1.2117802725486493</c:v>
              </c:pt>
            </c:numLit>
          </c:val>
          <c:smooth val="1"/>
          <c:extLst xmlns:c16r2="http://schemas.microsoft.com/office/drawing/2015/06/chart">
            <c:ext xmlns:c16="http://schemas.microsoft.com/office/drawing/2014/chart" uri="{C3380CC4-5D6E-409C-BE32-E72D297353CC}">
              <c16:uniqueId val="{00000002-9409-4943-8E64-3E200E7C4B7F}"/>
            </c:ext>
          </c:extLst>
        </c:ser>
        <c:ser>
          <c:idx val="2"/>
          <c:order val="3"/>
          <c:spPr>
            <a:ln w="50800">
              <a:solidFill>
                <a:schemeClr val="dk1"/>
              </a:solidFill>
            </a:ln>
          </c:spPr>
          <c:marker>
            <c:symbol val="none"/>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extLst xmlns:c16r2="http://schemas.microsoft.com/office/drawing/2015/06/chart">
            <c:ext xmlns:c16="http://schemas.microsoft.com/office/drawing/2014/chart" uri="{C3380CC4-5D6E-409C-BE32-E72D297353CC}">
              <c16:uniqueId val="{00000003-9409-4943-8E64-3E200E7C4B7F}"/>
            </c:ext>
          </c:extLst>
        </c:ser>
        <c:dLbls>
          <c:showLegendKey val="0"/>
          <c:showVal val="0"/>
          <c:showCatName val="0"/>
          <c:showSerName val="0"/>
          <c:showPercent val="0"/>
          <c:showBubbleSize val="0"/>
        </c:dLbls>
        <c:marker val="1"/>
        <c:smooth val="0"/>
        <c:axId val="634664096"/>
        <c:axId val="634663312"/>
        <c:extLst xmlns:c16r2="http://schemas.microsoft.com/office/drawing/2015/06/chart"/>
      </c:lineChart>
      <c:catAx>
        <c:axId val="634664096"/>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1161696796353596"/>
              <c:y val="0.8145721161874917"/>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63312"/>
        <c:crossesAt val="0"/>
        <c:auto val="1"/>
        <c:lblAlgn val="ctr"/>
        <c:lblOffset val="100"/>
        <c:tickLblSkip val="1"/>
        <c:tickMarkSkip val="1"/>
        <c:noMultiLvlLbl val="0"/>
      </c:catAx>
      <c:valAx>
        <c:axId val="634663312"/>
        <c:scaling>
          <c:orientation val="minMax"/>
          <c:max val="2"/>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blocs  (% moyenne nationale)</a:t>
                </a:r>
                <a:endParaRPr lang="fr-FR" sz="1200"/>
              </a:p>
            </c:rich>
          </c:tx>
          <c:layout>
            <c:manualLayout>
              <c:xMode val="edge"/>
              <c:yMode val="edge"/>
              <c:x val="2.7717171088345867E-3"/>
              <c:y val="8.2831673022716559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64096"/>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27286315889384277"/>
          <c:y val="0.13919420940162977"/>
          <c:w val="0.49160344254739463"/>
          <c:h val="0.11277575545400353"/>
        </c:manualLayout>
      </c:layout>
      <c:overlay val="0"/>
      <c:spPr>
        <a:solidFill>
          <a:schemeClr val="bg1"/>
        </a:solidFill>
        <a:ln w="28575">
          <a:solidFill>
            <a:schemeClr val="tx1"/>
          </a:solidFill>
        </a:ln>
      </c:spPr>
      <c:txPr>
        <a:bodyPr/>
        <a:lstStyle/>
        <a:p>
          <a:pPr>
            <a:defRPr sz="14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900" b="1" baseline="0">
                <a:latin typeface="Arial" panose="020B0604020202020204" pitchFamily="34" charset="0"/>
                <a:cs typeface="Arial" panose="020B0604020202020204" pitchFamily="34" charset="0"/>
              </a:rPr>
              <a:t>Graph. 34. L'embourgeoisement du bloc national-libéral </a:t>
            </a:r>
            <a:r>
              <a:rPr lang="fr-FR" sz="1900" b="0" baseline="0">
                <a:latin typeface="Arial" panose="020B0604020202020204" pitchFamily="34" charset="0"/>
                <a:cs typeface="Arial" panose="020B0604020202020204" pitchFamily="34" charset="0"/>
              </a:rPr>
              <a:t>(2024) </a:t>
            </a:r>
          </a:p>
        </c:rich>
      </c:tx>
      <c:layout>
        <c:manualLayout>
          <c:xMode val="edge"/>
          <c:yMode val="edge"/>
          <c:x val="0.13517454068241469"/>
          <c:y val="2.2031283251755691E-3"/>
        </c:manualLayout>
      </c:layout>
      <c:overlay val="0"/>
      <c:spPr>
        <a:noFill/>
        <a:ln w="25400">
          <a:noFill/>
        </a:ln>
      </c:spPr>
    </c:title>
    <c:autoTitleDeleted val="0"/>
    <c:plotArea>
      <c:layout>
        <c:manualLayout>
          <c:layoutTarget val="inner"/>
          <c:xMode val="edge"/>
          <c:yMode val="edge"/>
          <c:x val="9.956107811674049E-2"/>
          <c:y val="5.8900697080227847E-2"/>
          <c:w val="0.85328418233501813"/>
          <c:h val="0.69691132834440606"/>
        </c:manualLayout>
      </c:layout>
      <c:lineChart>
        <c:grouping val="standard"/>
        <c:varyColors val="0"/>
        <c:ser>
          <c:idx val="5"/>
          <c:order val="0"/>
          <c:tx>
            <c:v>Rassemblement national (RN)</c:v>
          </c:tx>
          <c:spPr>
            <a:ln w="50800">
              <a:solidFill>
                <a:srgbClr val="7030A0"/>
              </a:solidFill>
            </a:ln>
          </c:spPr>
          <c:marker>
            <c:symbol val="triangle"/>
            <c:size val="12"/>
            <c:spPr>
              <a:solidFill>
                <a:srgbClr val="7030A0"/>
              </a:solidFill>
              <a:ln>
                <a:solidFill>
                  <a:srgbClr val="7030A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1.1103317085816635</c:v>
              </c:pt>
              <c:pt idx="1">
                <c:v>1.1495308820155608</c:v>
              </c:pt>
              <c:pt idx="2">
                <c:v>1.0966997191941432</c:v>
              </c:pt>
              <c:pt idx="3">
                <c:v>1.0615588315019071</c:v>
              </c:pt>
              <c:pt idx="4">
                <c:v>1.0474847780248691</c:v>
              </c:pt>
              <c:pt idx="5">
                <c:v>0.97189864505158763</c:v>
              </c:pt>
              <c:pt idx="6">
                <c:v>0.95966725790578256</c:v>
              </c:pt>
              <c:pt idx="7">
                <c:v>0.93743575635113818</c:v>
              </c:pt>
              <c:pt idx="8">
                <c:v>0.87933807592601565</c:v>
              </c:pt>
              <c:pt idx="9">
                <c:v>0.78605434544733199</c:v>
              </c:pt>
              <c:pt idx="10">
                <c:v>0.77459514839237853</c:v>
              </c:pt>
              <c:pt idx="11">
                <c:v>0.75033040410898622</c:v>
              </c:pt>
            </c:numLit>
          </c:val>
          <c:smooth val="1"/>
          <c:extLst xmlns:c16r2="http://schemas.microsoft.com/office/drawing/2015/06/chart">
            <c:ext xmlns:c16="http://schemas.microsoft.com/office/drawing/2014/chart" uri="{C3380CC4-5D6E-409C-BE32-E72D297353CC}">
              <c16:uniqueId val="{00000000-3ED2-7F4E-A278-CBE54F425956}"/>
            </c:ext>
          </c:extLst>
        </c:ser>
        <c:ser>
          <c:idx val="7"/>
          <c:order val="1"/>
          <c:tx>
            <c:v>Total Bloc national-libéral (RN-LR-Reconquête)</c:v>
          </c:tx>
          <c:spPr>
            <a:ln w="50800">
              <a:solidFill>
                <a:srgbClr val="00B0F0"/>
              </a:solidFill>
            </a:ln>
          </c:spPr>
          <c:marker>
            <c:symbol val="circle"/>
            <c:size val="11"/>
            <c:spPr>
              <a:solidFill>
                <a:srgbClr val="00B0F0"/>
              </a:solidFill>
              <a:ln>
                <a:solidFill>
                  <a:srgbClr val="00B0F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1.0125808734148862</c:v>
              </c:pt>
              <c:pt idx="1">
                <c:v>1.0584904598500446</c:v>
              </c:pt>
              <c:pt idx="2">
                <c:v>1.0346542813933488</c:v>
              </c:pt>
              <c:pt idx="3">
                <c:v>1.0129513571203499</c:v>
              </c:pt>
              <c:pt idx="4">
                <c:v>1.0159489613421537</c:v>
              </c:pt>
              <c:pt idx="5">
                <c:v>0.95991304912670516</c:v>
              </c:pt>
              <c:pt idx="6">
                <c:v>0.96275999632714637</c:v>
              </c:pt>
              <c:pt idx="7">
                <c:v>0.9743751117564835</c:v>
              </c:pt>
              <c:pt idx="8">
                <c:v>0.95876574100566336</c:v>
              </c:pt>
              <c:pt idx="9">
                <c:v>1.0095601686632181</c:v>
              </c:pt>
              <c:pt idx="10">
                <c:v>1.0255449088993176</c:v>
              </c:pt>
              <c:pt idx="11">
                <c:v>1.2117802725486493</c:v>
              </c:pt>
            </c:numLit>
          </c:val>
          <c:smooth val="1"/>
          <c:extLst xmlns:c16r2="http://schemas.microsoft.com/office/drawing/2015/06/chart">
            <c:ext xmlns:c16="http://schemas.microsoft.com/office/drawing/2014/chart" uri="{C3380CC4-5D6E-409C-BE32-E72D297353CC}">
              <c16:uniqueId val="{00000001-3ED2-7F4E-A278-CBE54F425956}"/>
            </c:ext>
          </c:extLst>
        </c:ser>
        <c:ser>
          <c:idx val="1"/>
          <c:order val="2"/>
          <c:tx>
            <c:v>Les Républicains (LR), divers droite</c:v>
          </c:tx>
          <c:spPr>
            <a:ln w="50800">
              <a:solidFill>
                <a:srgbClr val="0EEFFA"/>
              </a:solidFill>
            </a:ln>
          </c:spPr>
          <c:marker>
            <c:spPr>
              <a:solidFill>
                <a:srgbClr val="0EEFFA"/>
              </a:solidFill>
              <a:ln>
                <a:solidFill>
                  <a:srgbClr val="0EEFFA"/>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0.73399255383593642</c:v>
              </c:pt>
              <c:pt idx="1">
                <c:v>0.79301725186270133</c:v>
              </c:pt>
              <c:pt idx="2">
                <c:v>0.85002750308437847</c:v>
              </c:pt>
              <c:pt idx="3">
                <c:v>0.85997821171459643</c:v>
              </c:pt>
              <c:pt idx="4">
                <c:v>0.89900862521879321</c:v>
              </c:pt>
              <c:pt idx="5">
                <c:v>0.90376606768210743</c:v>
              </c:pt>
              <c:pt idx="6">
                <c:v>0.96620171588482529</c:v>
              </c:pt>
              <c:pt idx="7">
                <c:v>1.0745928175979389</c:v>
              </c:pt>
              <c:pt idx="8">
                <c:v>1.1785565944071976</c:v>
              </c:pt>
              <c:pt idx="9">
                <c:v>1.7408586587115247</c:v>
              </c:pt>
              <c:pt idx="10">
                <c:v>1.8646276271629889</c:v>
              </c:pt>
              <c:pt idx="11">
                <c:v>2.8468129583362023</c:v>
              </c:pt>
            </c:numLit>
          </c:val>
          <c:smooth val="0"/>
          <c:extLst xmlns:c16r2="http://schemas.microsoft.com/office/drawing/2015/06/chart">
            <c:ext xmlns:c16="http://schemas.microsoft.com/office/drawing/2014/chart" uri="{C3380CC4-5D6E-409C-BE32-E72D297353CC}">
              <c16:uniqueId val="{00000002-3ED2-7F4E-A278-CBE54F425956}"/>
            </c:ext>
          </c:extLst>
        </c:ser>
        <c:ser>
          <c:idx val="0"/>
          <c:order val="3"/>
          <c:tx>
            <c:v>Reconquête</c:v>
          </c:tx>
          <c:spPr>
            <a:ln w="50800">
              <a:solidFill>
                <a:schemeClr val="tx1"/>
              </a:solidFill>
            </a:ln>
          </c:spPr>
          <c:marker>
            <c:symbol val="diamond"/>
            <c:size val="11"/>
            <c:spPr>
              <a:solidFill>
                <a:schemeClr val="tx1"/>
              </a:solidFill>
              <a:ln>
                <a:solidFill>
                  <a:schemeClr val="tx1"/>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0.817491260060905</c:v>
              </c:pt>
              <c:pt idx="1">
                <c:v>0.91222913256937732</c:v>
              </c:pt>
              <c:pt idx="2">
                <c:v>0.93071591954248234</c:v>
              </c:pt>
              <c:pt idx="3">
                <c:v>0.93087586118141608</c:v>
              </c:pt>
              <c:pt idx="4">
                <c:v>0.9843638096516284</c:v>
              </c:pt>
              <c:pt idx="5">
                <c:v>0.92461829370065451</c:v>
              </c:pt>
              <c:pt idx="6">
                <c:v>0.94660961051427794</c:v>
              </c:pt>
              <c:pt idx="7">
                <c:v>1.0369288710481337</c:v>
              </c:pt>
              <c:pt idx="8">
                <c:v>1.1064093274060669</c:v>
              </c:pt>
              <c:pt idx="9">
                <c:v>1.4097579143250585</c:v>
              </c:pt>
              <c:pt idx="10">
                <c:v>1.463229925238849</c:v>
              </c:pt>
              <c:pt idx="11">
                <c:v>2.0563300621150473</c:v>
              </c:pt>
            </c:numLit>
          </c:val>
          <c:smooth val="1"/>
          <c:extLst xmlns:c16r2="http://schemas.microsoft.com/office/drawing/2015/06/chart">
            <c:ext xmlns:c16="http://schemas.microsoft.com/office/drawing/2014/chart" uri="{C3380CC4-5D6E-409C-BE32-E72D297353CC}">
              <c16:uniqueId val="{00000003-3ED2-7F4E-A278-CBE54F425956}"/>
            </c:ext>
          </c:extLst>
        </c:ser>
        <c:ser>
          <c:idx val="2"/>
          <c:order val="4"/>
          <c:spPr>
            <a:ln w="50800">
              <a:solidFill>
                <a:schemeClr val="dk1"/>
              </a:solidFill>
            </a:ln>
          </c:spPr>
          <c:marker>
            <c:symbol val="none"/>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0%</c:formatCode>
              <c:ptCount val="12"/>
              <c:pt idx="0">
                <c:v>1</c:v>
              </c:pt>
              <c:pt idx="1">
                <c:v>1</c:v>
              </c:pt>
              <c:pt idx="2">
                <c:v>1</c:v>
              </c:pt>
              <c:pt idx="3">
                <c:v>1</c:v>
              </c:pt>
              <c:pt idx="4">
                <c:v>1</c:v>
              </c:pt>
              <c:pt idx="5">
                <c:v>1</c:v>
              </c:pt>
              <c:pt idx="6">
                <c:v>1</c:v>
              </c:pt>
              <c:pt idx="7">
                <c:v>1</c:v>
              </c:pt>
              <c:pt idx="8">
                <c:v>1</c:v>
              </c:pt>
              <c:pt idx="9">
                <c:v>1</c:v>
              </c:pt>
              <c:pt idx="10">
                <c:v>1</c:v>
              </c:pt>
              <c:pt idx="11">
                <c:v>1</c:v>
              </c:pt>
            </c:numLit>
          </c:val>
          <c:smooth val="0"/>
          <c:extLst xmlns:c16r2="http://schemas.microsoft.com/office/drawing/2015/06/chart">
            <c:ext xmlns:c16="http://schemas.microsoft.com/office/drawing/2014/chart" uri="{C3380CC4-5D6E-409C-BE32-E72D297353CC}">
              <c16:uniqueId val="{00000004-3ED2-7F4E-A278-CBE54F425956}"/>
            </c:ext>
          </c:extLst>
        </c:ser>
        <c:dLbls>
          <c:showLegendKey val="0"/>
          <c:showVal val="0"/>
          <c:showCatName val="0"/>
          <c:showSerName val="0"/>
          <c:showPercent val="0"/>
          <c:showBubbleSize val="0"/>
        </c:dLbls>
        <c:marker val="1"/>
        <c:smooth val="0"/>
        <c:axId val="634665664"/>
        <c:axId val="634656648"/>
        <c:extLst xmlns:c16r2="http://schemas.microsoft.com/office/drawing/2015/06/chart"/>
      </c:lineChart>
      <c:catAx>
        <c:axId val="634665664"/>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200" baseline="0"/>
                  <a:t>Répartition de la population par décile en fonction du revenu communal par habitant</a:t>
                </a:r>
                <a:endParaRPr lang="fr-FR" sz="1200"/>
              </a:p>
            </c:rich>
          </c:tx>
          <c:layout>
            <c:manualLayout>
              <c:xMode val="edge"/>
              <c:yMode val="edge"/>
              <c:x val="0.21161696796353596"/>
              <c:y val="0.8145721161874917"/>
            </c:manualLayout>
          </c:layout>
          <c:overlay val="0"/>
        </c:title>
        <c:numFmt formatCode="General" sourceLinked="0"/>
        <c:majorTickMark val="out"/>
        <c:minorTickMark val="none"/>
        <c:tickLblPos val="low"/>
        <c:spPr>
          <a:ln w="3175">
            <a:solidFill>
              <a:srgbClr val="7030A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56648"/>
        <c:crossesAt val="0"/>
        <c:auto val="1"/>
        <c:lblAlgn val="ctr"/>
        <c:lblOffset val="100"/>
        <c:tickLblSkip val="1"/>
        <c:tickMarkSkip val="1"/>
        <c:noMultiLvlLbl val="0"/>
      </c:catAx>
      <c:valAx>
        <c:axId val="634656648"/>
        <c:scaling>
          <c:orientation val="minMax"/>
          <c:max val="2.9"/>
          <c:min val="0"/>
        </c:scaling>
        <c:delete val="0"/>
        <c:axPos val="l"/>
        <c:majorGridlines>
          <c:spPr>
            <a:ln w="12700">
              <a:solidFill>
                <a:srgbClr val="000000"/>
              </a:solidFill>
              <a:prstDash val="sysDash"/>
            </a:ln>
          </c:spPr>
        </c:majorGridlines>
        <c:title>
          <c:tx>
            <c:rich>
              <a:bodyPr/>
              <a:lstStyle/>
              <a:p>
                <a:pPr>
                  <a:defRPr sz="1300"/>
                </a:pPr>
                <a:r>
                  <a:rPr lang="fr-FR" sz="1200" baseline="0"/>
                  <a:t>Vote pour les différents courants (% moyenne nationale)</a:t>
                </a:r>
                <a:endParaRPr lang="fr-FR" sz="1200"/>
              </a:p>
            </c:rich>
          </c:tx>
          <c:layout>
            <c:manualLayout>
              <c:xMode val="edge"/>
              <c:yMode val="edge"/>
              <c:x val="2.7717171088345867E-3"/>
              <c:y val="4.226227459448792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4665664"/>
        <c:crosses val="autoZero"/>
        <c:crossBetween val="midCat"/>
        <c:majorUnit val="0.2"/>
      </c:valAx>
      <c:spPr>
        <a:solidFill>
          <a:schemeClr val="lt1"/>
        </a:solidFill>
        <a:ln w="25400" cap="flat" cmpd="sng" algn="ctr">
          <a:solidFill>
            <a:schemeClr val="dk1"/>
          </a:solidFill>
          <a:prstDash val="solid"/>
          <a:miter lim="800000"/>
        </a:ln>
        <a:effectLst/>
      </c:spPr>
    </c:plotArea>
    <c:legend>
      <c:legendPos val="b"/>
      <c:layout>
        <c:manualLayout>
          <c:xMode val="edge"/>
          <c:yMode val="edge"/>
          <c:x val="0.26867304481965415"/>
          <c:y val="0.16625653904946811"/>
          <c:w val="0.49160344254739463"/>
          <c:h val="0.14892319931206005"/>
        </c:manualLayout>
      </c:layout>
      <c:overlay val="0"/>
      <c:spPr>
        <a:solidFill>
          <a:schemeClr val="bg1"/>
        </a:solidFill>
        <a:ln w="28575">
          <a:solidFill>
            <a:schemeClr val="tx1"/>
          </a:solidFill>
        </a:ln>
      </c:spPr>
      <c:txPr>
        <a:bodyPr/>
        <a:lstStyle/>
        <a:p>
          <a:pPr>
            <a:defRPr sz="1400"/>
          </a:pPr>
          <a:endParaRPr lang="fr-FR"/>
        </a:p>
      </c:txPr>
    </c:legend>
    <c:plotVisOnly val="1"/>
    <c:dispBlanksAs val="span"/>
    <c:showDLblsOverMax val="0"/>
  </c:chart>
  <c:spPr>
    <a:noFill/>
    <a:ln w="19050">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fr-FR" sz="1800" b="1" baseline="0"/>
              <a:t>Graph. 4. Les écarts de participation entre territoires</a:t>
            </a:r>
          </a:p>
          <a:p>
            <a:pPr>
              <a:defRPr/>
            </a:pPr>
            <a:r>
              <a:rPr lang="fr-FR" sz="1800" b="0" baseline="0"/>
              <a:t>(élections européennes 1994-2024)</a:t>
            </a:r>
            <a:endParaRPr lang="fr-FR" sz="1600" b="0"/>
          </a:p>
        </c:rich>
      </c:tx>
      <c:layout>
        <c:manualLayout>
          <c:xMode val="edge"/>
          <c:yMode val="edge"/>
          <c:x val="0.21186152392744959"/>
          <c:y val="2.2234981616523668E-3"/>
        </c:manualLayout>
      </c:layout>
      <c:overlay val="0"/>
    </c:title>
    <c:autoTitleDeleted val="0"/>
    <c:plotArea>
      <c:layout>
        <c:manualLayout>
          <c:layoutTarget val="inner"/>
          <c:xMode val="edge"/>
          <c:yMode val="edge"/>
          <c:x val="0.10993268448169308"/>
          <c:y val="9.9537428530416208E-2"/>
          <c:w val="0.85664917674277352"/>
          <c:h val="0.66979044826689371"/>
        </c:manualLayout>
      </c:layout>
      <c:lineChart>
        <c:grouping val="standard"/>
        <c:varyColors val="0"/>
        <c:ser>
          <c:idx val="0"/>
          <c:order val="0"/>
          <c:tx>
            <c:v>Villages</c:v>
          </c:tx>
          <c:spPr>
            <a:ln w="50800">
              <a:solidFill>
                <a:srgbClr val="00B050"/>
              </a:solidFill>
            </a:ln>
          </c:spPr>
          <c:marker>
            <c:symbol val="square"/>
            <c:size val="12"/>
            <c:spPr>
              <a:solidFill>
                <a:srgbClr val="00B050"/>
              </a:solidFill>
              <a:ln>
                <a:solidFill>
                  <a:srgbClr val="00B05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1.0624290291546006</c:v>
              </c:pt>
              <c:pt idx="5" formatCode="0%">
                <c:v>1.0826025441200771</c:v>
              </c:pt>
              <c:pt idx="10" formatCode="0%">
                <c:v>1.058910695062744</c:v>
              </c:pt>
              <c:pt idx="15" formatCode="0%">
                <c:v>1.0802055914287543</c:v>
              </c:pt>
              <c:pt idx="20" formatCode="0%">
                <c:v>1.101392836837658</c:v>
              </c:pt>
              <c:pt idx="25" formatCode="0%">
                <c:v>1.0809539489248967</c:v>
              </c:pt>
              <c:pt idx="30" formatCode="0%">
                <c:v>1.0715626787498986</c:v>
              </c:pt>
            </c:numLit>
          </c:val>
          <c:smooth val="1"/>
        </c:ser>
        <c:ser>
          <c:idx val="2"/>
          <c:order val="1"/>
          <c:tx>
            <c:v>Bourgs</c:v>
          </c:tx>
          <c:spPr>
            <a:ln w="50800">
              <a:solidFill>
                <a:srgbClr val="00B0F0"/>
              </a:solidFill>
            </a:ln>
          </c:spPr>
          <c:marker>
            <c:symbol val="circle"/>
            <c:size val="12"/>
            <c:spPr>
              <a:solidFill>
                <a:srgbClr val="00B0F0"/>
              </a:solidFill>
              <a:ln>
                <a:solidFill>
                  <a:srgbClr val="00B0F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0.99279284441108928</c:v>
              </c:pt>
              <c:pt idx="5" formatCode="0%">
                <c:v>0.98353882123724534</c:v>
              </c:pt>
              <c:pt idx="10" formatCode="0%">
                <c:v>0.97622311928873085</c:v>
              </c:pt>
              <c:pt idx="15" formatCode="0%">
                <c:v>0.97197092451739764</c:v>
              </c:pt>
              <c:pt idx="20" formatCode="0%">
                <c:v>0.98189900150776521</c:v>
              </c:pt>
              <c:pt idx="25" formatCode="0%">
                <c:v>0.99213939105565863</c:v>
              </c:pt>
              <c:pt idx="30" formatCode="0%">
                <c:v>0.97977347452226959</c:v>
              </c:pt>
            </c:numLit>
          </c:val>
          <c:smooth val="1"/>
        </c:ser>
        <c:ser>
          <c:idx val="1"/>
          <c:order val="2"/>
          <c:tx>
            <c:v>Banlieues</c:v>
          </c:tx>
          <c:spPr>
            <a:ln w="50800">
              <a:solidFill>
                <a:srgbClr val="FF0000"/>
              </a:solidFill>
            </a:ln>
          </c:spPr>
          <c:marker>
            <c:symbol val="triangle"/>
            <c:size val="12"/>
            <c:spPr>
              <a:solidFill>
                <a:srgbClr val="FF0000"/>
              </a:solidFill>
              <a:ln>
                <a:solidFill>
                  <a:srgbClr val="FF0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0.98622003617370391</c:v>
              </c:pt>
              <c:pt idx="5" formatCode="0%">
                <c:v>0.97311347844289575</c:v>
              </c:pt>
              <c:pt idx="10" formatCode="0%">
                <c:v>0.98034133822883407</c:v>
              </c:pt>
              <c:pt idx="15" formatCode="0%">
                <c:v>0.97260265970478488</c:v>
              </c:pt>
              <c:pt idx="20" formatCode="0%">
                <c:v>0.95131180378379621</c:v>
              </c:pt>
              <c:pt idx="25" formatCode="0%">
                <c:v>0.96197516293695784</c:v>
              </c:pt>
              <c:pt idx="30" formatCode="0%">
                <c:v>0.97432167357852517</c:v>
              </c:pt>
            </c:numLit>
          </c:val>
          <c:smooth val="1"/>
        </c:ser>
        <c:ser>
          <c:idx val="3"/>
          <c:order val="3"/>
          <c:tx>
            <c:v>Métropoles</c:v>
          </c:tx>
          <c:spPr>
            <a:ln w="50800">
              <a:solidFill>
                <a:srgbClr val="FFC000"/>
              </a:solidFill>
            </a:ln>
          </c:spPr>
          <c:marker>
            <c:symbol val="diamond"/>
            <c:size val="12"/>
            <c:spPr>
              <a:solidFill>
                <a:srgbClr val="FFC000"/>
              </a:solidFill>
              <a:ln>
                <a:solidFill>
                  <a:srgbClr val="FFC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0.94256436263485011</c:v>
              </c:pt>
              <c:pt idx="5" formatCode="0%">
                <c:v>0.95609217818899472</c:v>
              </c:pt>
              <c:pt idx="10" formatCode="0%">
                <c:v>1.0022259694417037</c:v>
              </c:pt>
              <c:pt idx="15" formatCode="0%">
                <c:v>1.000152794774547</c:v>
              </c:pt>
              <c:pt idx="20" formatCode="0%">
                <c:v>0.98946693202485836</c:v>
              </c:pt>
              <c:pt idx="25" formatCode="0%">
                <c:v>0.97484400863729082</c:v>
              </c:pt>
              <c:pt idx="30" formatCode="0%">
                <c:v>0.99838884691071306</c:v>
              </c:pt>
            </c:numLit>
          </c:val>
          <c:smooth val="1"/>
        </c:ser>
        <c:ser>
          <c:idx val="4"/>
          <c:order val="4"/>
          <c:spPr>
            <a:ln w="50800">
              <a:solidFill>
                <a:sysClr val="windowText" lastClr="000000"/>
              </a:solidFill>
            </a:ln>
          </c:spPr>
          <c:marker>
            <c:symbol val="none"/>
          </c:marker>
          <c:val>
            <c:numLit>
              <c:formatCode>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numLit>
          </c:val>
          <c:smooth val="0"/>
        </c:ser>
        <c:dLbls>
          <c:showLegendKey val="0"/>
          <c:showVal val="0"/>
          <c:showCatName val="0"/>
          <c:showSerName val="0"/>
          <c:showPercent val="0"/>
          <c:showBubbleSize val="0"/>
        </c:dLbls>
        <c:marker val="1"/>
        <c:smooth val="0"/>
        <c:axId val="634616664"/>
        <c:axId val="634617448"/>
        <c:extLst/>
      </c:lineChart>
      <c:catAx>
        <c:axId val="6346166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7448"/>
        <c:crossesAt val="0"/>
        <c:auto val="1"/>
        <c:lblAlgn val="ctr"/>
        <c:lblOffset val="100"/>
        <c:tickLblSkip val="5"/>
        <c:tickMarkSkip val="5"/>
        <c:noMultiLvlLbl val="0"/>
      </c:catAx>
      <c:valAx>
        <c:axId val="634617448"/>
        <c:scaling>
          <c:orientation val="minMax"/>
          <c:max val="1.1200000000000001"/>
          <c:min val="0.92"/>
        </c:scaling>
        <c:delete val="0"/>
        <c:axPos val="l"/>
        <c:majorGridlines>
          <c:spPr>
            <a:ln w="12700">
              <a:solidFill>
                <a:srgbClr val="000000"/>
              </a:solidFill>
              <a:prstDash val="sysDash"/>
            </a:ln>
          </c:spPr>
        </c:majorGridlines>
        <c:title>
          <c:tx>
            <c:rich>
              <a:bodyPr/>
              <a:lstStyle/>
              <a:p>
                <a:pPr>
                  <a:defRPr/>
                </a:pPr>
                <a:r>
                  <a:rPr lang="fr-FR" sz="1200" baseline="0"/>
                  <a:t> Participation électorale (% moyenne nationale)</a:t>
                </a:r>
                <a:endParaRPr lang="fr-FR" sz="1200"/>
              </a:p>
            </c:rich>
          </c:tx>
          <c:layout>
            <c:manualLayout>
              <c:xMode val="edge"/>
              <c:yMode val="edge"/>
              <c:x val="5.5846796912646735E-3"/>
              <c:y val="0.16036207729816365"/>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16664"/>
        <c:crosses val="autoZero"/>
        <c:crossBetween val="midCat"/>
        <c:majorUnit val="2.0000000000000004E-2"/>
      </c:valAx>
      <c:spPr>
        <a:noFill/>
        <a:ln w="25400">
          <a:solidFill>
            <a:schemeClr val="tx1"/>
          </a:solidFill>
        </a:ln>
      </c:spPr>
    </c:plotArea>
    <c:legend>
      <c:legendPos val="l"/>
      <c:layout>
        <c:manualLayout>
          <c:xMode val="edge"/>
          <c:yMode val="edge"/>
          <c:x val="0.56935728979745304"/>
          <c:y val="0.26548966758267151"/>
          <c:w val="0.19231074007773172"/>
          <c:h val="0.17237735077569008"/>
        </c:manualLayout>
      </c:layout>
      <c:overlay val="1"/>
      <c:spPr>
        <a:solidFill>
          <a:schemeClr val="bg1"/>
        </a:solidFill>
        <a:ln w="254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fr-FR" sz="1800" b="1" baseline="0"/>
              <a:t>Graph. 5. Ecarts de participation suivant la taille d'agglomération</a:t>
            </a:r>
          </a:p>
          <a:p>
            <a:pPr>
              <a:defRPr/>
            </a:pPr>
            <a:r>
              <a:rPr lang="fr-FR" sz="1800" b="0" baseline="0"/>
              <a:t>(élections européennes 1994-2024)</a:t>
            </a:r>
            <a:endParaRPr lang="fr-FR" sz="1600" b="0"/>
          </a:p>
        </c:rich>
      </c:tx>
      <c:layout>
        <c:manualLayout>
          <c:xMode val="edge"/>
          <c:yMode val="edge"/>
          <c:x val="0.15333746073590102"/>
          <c:y val="2.2366444435285475E-3"/>
        </c:manualLayout>
      </c:layout>
      <c:overlay val="0"/>
    </c:title>
    <c:autoTitleDeleted val="0"/>
    <c:plotArea>
      <c:layout>
        <c:manualLayout>
          <c:layoutTarget val="inner"/>
          <c:xMode val="edge"/>
          <c:yMode val="edge"/>
          <c:x val="0.10993356094304174"/>
          <c:y val="0.10402789631163629"/>
          <c:w val="0.85664917674277352"/>
          <c:h val="0.71715283377637085"/>
        </c:manualLayout>
      </c:layout>
      <c:lineChart>
        <c:grouping val="standard"/>
        <c:varyColors val="0"/>
        <c:ser>
          <c:idx val="0"/>
          <c:order val="0"/>
          <c:tx>
            <c:v>Les 5% les plus petites/Les 5% les plus grandes</c:v>
          </c:tx>
          <c:spPr>
            <a:ln w="50800">
              <a:solidFill>
                <a:srgbClr val="00B0F0"/>
              </a:solidFill>
            </a:ln>
          </c:spPr>
          <c:marker>
            <c:symbol val="circle"/>
            <c:size val="12"/>
            <c:spPr>
              <a:solidFill>
                <a:srgbClr val="00B0F0"/>
              </a:solidFill>
              <a:ln>
                <a:solidFill>
                  <a:srgbClr val="00B0F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1.109349291475402</c:v>
              </c:pt>
              <c:pt idx="5" formatCode="0%">
                <c:v>1.1040246537658442</c:v>
              </c:pt>
              <c:pt idx="10" formatCode="0%">
                <c:v>1.0150253320451728</c:v>
              </c:pt>
              <c:pt idx="15" formatCode="0%">
                <c:v>1.0391688907761256</c:v>
              </c:pt>
              <c:pt idx="20" formatCode="0%">
                <c:v>1.0930300343151595</c:v>
              </c:pt>
              <c:pt idx="25" formatCode="0%">
                <c:v>1.0917634428760039</c:v>
              </c:pt>
              <c:pt idx="30" formatCode="0%">
                <c:v>1.0730366838525411</c:v>
              </c:pt>
            </c:numLit>
          </c:val>
          <c:smooth val="1"/>
        </c:ser>
        <c:ser>
          <c:idx val="2"/>
          <c:order val="1"/>
          <c:tx>
            <c:v>Les 10% les plus petites/Les 10% les plus grandes</c:v>
          </c:tx>
          <c:spPr>
            <a:ln w="50800">
              <a:solidFill>
                <a:srgbClr val="FFC000"/>
              </a:solidFill>
            </a:ln>
          </c:spPr>
          <c:marker>
            <c:symbol val="diamond"/>
            <c:size val="12"/>
            <c:spPr>
              <a:solidFill>
                <a:srgbClr val="FFC000"/>
              </a:solidFill>
              <a:ln>
                <a:solidFill>
                  <a:srgbClr val="FFC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1.1107387362762864</c:v>
              </c:pt>
              <c:pt idx="5" formatCode="0%">
                <c:v>1.1162856208302039</c:v>
              </c:pt>
              <c:pt idx="10" formatCode="0%">
                <c:v>1.0285352086395554</c:v>
              </c:pt>
              <c:pt idx="15" formatCode="0%">
                <c:v>1.0854322101026201</c:v>
              </c:pt>
              <c:pt idx="20" formatCode="0%">
                <c:v>1.1655807863344732</c:v>
              </c:pt>
              <c:pt idx="25" formatCode="0%">
                <c:v>1.1374868619408509</c:v>
              </c:pt>
              <c:pt idx="30" formatCode="0%">
                <c:v>1.1070602195830643</c:v>
              </c:pt>
            </c:numLit>
          </c:val>
          <c:smooth val="1"/>
        </c:ser>
        <c:ser>
          <c:idx val="1"/>
          <c:order val="2"/>
          <c:tx>
            <c:v>Les 20% les plus petites/Les 20% les plus grandes</c:v>
          </c:tx>
          <c:spPr>
            <a:ln w="50800">
              <a:solidFill>
                <a:srgbClr val="FF0000"/>
              </a:solidFill>
            </a:ln>
          </c:spPr>
          <c:marker>
            <c:symbol val="triangle"/>
            <c:size val="12"/>
            <c:spPr>
              <a:solidFill>
                <a:srgbClr val="FF0000"/>
              </a:solidFill>
              <a:ln>
                <a:solidFill>
                  <a:srgbClr val="FF0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1.0826314271896456</c:v>
              </c:pt>
              <c:pt idx="5" formatCode="0%">
                <c:v>1.0944966461278283</c:v>
              </c:pt>
              <c:pt idx="10" formatCode="0%">
                <c:v>1.0340590070001416</c:v>
              </c:pt>
              <c:pt idx="15" formatCode="0%">
                <c:v>1.0734930564623912</c:v>
              </c:pt>
              <c:pt idx="20" formatCode="0%">
                <c:v>1.1397222159837208</c:v>
              </c:pt>
              <c:pt idx="25" formatCode="0%">
                <c:v>1.1250181637762073</c:v>
              </c:pt>
              <c:pt idx="30" formatCode="0%">
                <c:v>1.0842089866303941</c:v>
              </c:pt>
            </c:numLit>
          </c:val>
          <c:smooth val="1"/>
        </c:ser>
        <c:ser>
          <c:idx val="3"/>
          <c:order val="3"/>
          <c:tx>
            <c:v>Les 50% les plus petites/Les 50% les plus grandes</c:v>
          </c:tx>
          <c:spPr>
            <a:ln w="50800">
              <a:solidFill>
                <a:srgbClr val="00B050"/>
              </a:solidFill>
            </a:ln>
          </c:spPr>
          <c:marker>
            <c:symbol val="square"/>
            <c:size val="12"/>
            <c:spPr>
              <a:solidFill>
                <a:srgbClr val="00B050"/>
              </a:solidFill>
              <a:ln>
                <a:solidFill>
                  <a:srgbClr val="00B05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1.0533036185091109</c:v>
              </c:pt>
              <c:pt idx="5" formatCode="0%">
                <c:v>1.0642586872386772</c:v>
              </c:pt>
              <c:pt idx="10" formatCode="0%">
                <c:v>1.0293885440185995</c:v>
              </c:pt>
              <c:pt idx="15" formatCode="0%">
                <c:v>1.0404726551853072</c:v>
              </c:pt>
              <c:pt idx="20" formatCode="0%">
                <c:v>1.0724092178582367</c:v>
              </c:pt>
              <c:pt idx="25" formatCode="0%">
                <c:v>1.0674250714253217</c:v>
              </c:pt>
              <c:pt idx="30" formatCode="0%">
                <c:v>1.0400398849146035</c:v>
              </c:pt>
            </c:numLit>
          </c:val>
          <c:smooth val="1"/>
        </c:ser>
        <c:ser>
          <c:idx val="4"/>
          <c:order val="4"/>
          <c:spPr>
            <a:ln w="50800">
              <a:solidFill>
                <a:sysClr val="windowText" lastClr="000000"/>
              </a:solidFill>
            </a:ln>
          </c:spPr>
          <c:marker>
            <c:symbol val="none"/>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numLit>
          </c:val>
          <c:smooth val="0"/>
        </c:ser>
        <c:dLbls>
          <c:showLegendKey val="0"/>
          <c:showVal val="0"/>
          <c:showCatName val="0"/>
          <c:showSerName val="0"/>
          <c:showPercent val="0"/>
          <c:showBubbleSize val="0"/>
        </c:dLbls>
        <c:marker val="1"/>
        <c:smooth val="0"/>
        <c:axId val="634620976"/>
        <c:axId val="634629208"/>
        <c:extLst/>
      </c:lineChart>
      <c:catAx>
        <c:axId val="6346209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9208"/>
        <c:crossesAt val="0"/>
        <c:auto val="1"/>
        <c:lblAlgn val="ctr"/>
        <c:lblOffset val="100"/>
        <c:tickLblSkip val="5"/>
        <c:tickMarkSkip val="5"/>
        <c:noMultiLvlLbl val="0"/>
      </c:catAx>
      <c:valAx>
        <c:axId val="634629208"/>
        <c:scaling>
          <c:orientation val="minMax"/>
          <c:max val="1.28"/>
          <c:min val="0.9"/>
        </c:scaling>
        <c:delete val="0"/>
        <c:axPos val="l"/>
        <c:majorGridlines>
          <c:spPr>
            <a:ln w="12700">
              <a:solidFill>
                <a:srgbClr val="000000"/>
              </a:solidFill>
              <a:prstDash val="sysDash"/>
            </a:ln>
          </c:spPr>
        </c:majorGridlines>
        <c:title>
          <c:tx>
            <c:rich>
              <a:bodyPr/>
              <a:lstStyle/>
              <a:p>
                <a:pPr>
                  <a:defRPr sz="1300"/>
                </a:pPr>
                <a:r>
                  <a:rPr lang="fr-FR" sz="1200">
                    <a:latin typeface="Arial Narrow" panose="020B0606020202030204" pitchFamily="34" charset="0"/>
                  </a:rPr>
                  <a:t>Ratio</a:t>
                </a:r>
                <a:r>
                  <a:rPr lang="fr-FR" sz="1200" baseline="0">
                    <a:latin typeface="Arial Narrow" panose="020B0606020202030204" pitchFamily="34" charset="0"/>
                  </a:rPr>
                  <a:t> entre le taux de participation des 50% des agglomérations les plus petites</a:t>
                </a:r>
              </a:p>
              <a:p>
                <a:pPr>
                  <a:defRPr sz="1300"/>
                </a:pPr>
                <a:r>
                  <a:rPr lang="fr-FR" sz="1200" baseline="0">
                    <a:latin typeface="Arial Narrow" panose="020B0606020202030204" pitchFamily="34" charset="0"/>
                  </a:rPr>
                  <a:t>et les plus grandes, des 20% les plus petites et les plus grandes, etc.</a:t>
                </a:r>
                <a:endParaRPr lang="fr-FR" sz="1200">
                  <a:latin typeface="Arial Narrow" panose="020B0606020202030204" pitchFamily="34" charset="0"/>
                </a:endParaRPr>
              </a:p>
            </c:rich>
          </c:tx>
          <c:layout>
            <c:manualLayout>
              <c:xMode val="edge"/>
              <c:yMode val="edge"/>
              <c:x val="1.4224967688704594E-3"/>
              <c:y val="6.7680699557809323E-2"/>
            </c:manualLayout>
          </c:layout>
          <c:overlay val="0"/>
        </c:title>
        <c:numFmt formatCode="#,##0.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0976"/>
        <c:crosses val="autoZero"/>
        <c:crossBetween val="midCat"/>
        <c:majorUnit val="5.000000000000001E-2"/>
      </c:valAx>
      <c:spPr>
        <a:noFill/>
        <a:ln w="25400">
          <a:solidFill>
            <a:schemeClr val="tx1"/>
          </a:solidFill>
        </a:ln>
      </c:spPr>
    </c:plotArea>
    <c:legend>
      <c:legendPos val="l"/>
      <c:layout>
        <c:manualLayout>
          <c:xMode val="edge"/>
          <c:yMode val="edge"/>
          <c:x val="0.22737324643365139"/>
          <c:y val="0.11871560879669749"/>
          <c:w val="0.56220915846938757"/>
          <c:h val="0.16545619464758846"/>
        </c:manualLayout>
      </c:layout>
      <c:overlay val="1"/>
      <c:spPr>
        <a:solidFill>
          <a:schemeClr val="bg1"/>
        </a:solidFill>
        <a:ln w="254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fr-FR" sz="1800" b="1" baseline="0"/>
              <a:t>Graph. 6. L'envolée des écarts de participation </a:t>
            </a:r>
          </a:p>
          <a:p>
            <a:pPr>
              <a:defRPr/>
            </a:pPr>
            <a:r>
              <a:rPr lang="fr-FR" sz="1800" b="1" baseline="0"/>
              <a:t>au sein des territoires </a:t>
            </a:r>
            <a:r>
              <a:rPr lang="fr-FR" sz="1800" b="0" baseline="0"/>
              <a:t>(élections européennes 1994-2024)</a:t>
            </a:r>
            <a:endParaRPr lang="fr-FR" sz="1600" b="0"/>
          </a:p>
        </c:rich>
      </c:tx>
      <c:layout>
        <c:manualLayout>
          <c:xMode val="edge"/>
          <c:yMode val="edge"/>
          <c:x val="0.21326375252763236"/>
          <c:y val="2.2365868209192536E-3"/>
        </c:manualLayout>
      </c:layout>
      <c:overlay val="0"/>
    </c:title>
    <c:autoTitleDeleted val="0"/>
    <c:plotArea>
      <c:layout>
        <c:manualLayout>
          <c:layoutTarget val="inner"/>
          <c:xMode val="edge"/>
          <c:yMode val="edge"/>
          <c:x val="0.10993356094304174"/>
          <c:y val="0.10402789631163629"/>
          <c:w val="0.85664917674277352"/>
          <c:h val="0.70135946766796331"/>
        </c:manualLayout>
      </c:layout>
      <c:lineChart>
        <c:grouping val="standard"/>
        <c:varyColors val="0"/>
        <c:ser>
          <c:idx val="3"/>
          <c:order val="0"/>
          <c:tx>
            <c:v>Métropoles</c:v>
          </c:tx>
          <c:spPr>
            <a:ln w="50800">
              <a:solidFill>
                <a:srgbClr val="FFC000"/>
              </a:solidFill>
            </a:ln>
          </c:spPr>
          <c:marker>
            <c:symbol val="diamond"/>
            <c:size val="12"/>
            <c:spPr>
              <a:solidFill>
                <a:srgbClr val="FFC000"/>
              </a:solidFill>
              <a:ln>
                <a:solidFill>
                  <a:srgbClr val="FFC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1.1693719410418346</c:v>
              </c:pt>
              <c:pt idx="5" formatCode="0%">
                <c:v>1.217304574328081</c:v>
              </c:pt>
              <c:pt idx="10" formatCode="0%">
                <c:v>1.321597944343275</c:v>
              </c:pt>
              <c:pt idx="15" formatCode="0%">
                <c:v>1.4140614805573763</c:v>
              </c:pt>
              <c:pt idx="20" formatCode="0%">
                <c:v>1.4730003928179218</c:v>
              </c:pt>
              <c:pt idx="25" formatCode="0%">
                <c:v>1.3309950527380385</c:v>
              </c:pt>
              <c:pt idx="30" formatCode="0%">
                <c:v>1.2548173515154084</c:v>
              </c:pt>
            </c:numLit>
          </c:val>
          <c:smooth val="1"/>
        </c:ser>
        <c:ser>
          <c:idx val="1"/>
          <c:order val="1"/>
          <c:tx>
            <c:v>Banlieues</c:v>
          </c:tx>
          <c:spPr>
            <a:ln w="50800">
              <a:solidFill>
                <a:srgbClr val="FF0000"/>
              </a:solidFill>
            </a:ln>
          </c:spPr>
          <c:marker>
            <c:symbol val="triangle"/>
            <c:size val="12"/>
            <c:spPr>
              <a:solidFill>
                <a:srgbClr val="FF0000"/>
              </a:solidFill>
              <a:ln>
                <a:solidFill>
                  <a:srgbClr val="FF000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1.078741952798778</c:v>
              </c:pt>
              <c:pt idx="5" formatCode="0%">
                <c:v>1.2360425008486324</c:v>
              </c:pt>
              <c:pt idx="10" formatCode="0%">
                <c:v>1.413718262622107</c:v>
              </c:pt>
              <c:pt idx="15" formatCode="0%">
                <c:v>1.5860559068333724</c:v>
              </c:pt>
              <c:pt idx="20" formatCode="0%">
                <c:v>1.6699115534773834</c:v>
              </c:pt>
              <c:pt idx="25" formatCode="0%">
                <c:v>1.4887633438257319</c:v>
              </c:pt>
              <c:pt idx="30" formatCode="0%">
                <c:v>1.524397851335104</c:v>
              </c:pt>
            </c:numLit>
          </c:val>
          <c:smooth val="1"/>
        </c:ser>
        <c:ser>
          <c:idx val="2"/>
          <c:order val="2"/>
          <c:tx>
            <c:v>Bourgs</c:v>
          </c:tx>
          <c:spPr>
            <a:ln w="50800">
              <a:solidFill>
                <a:srgbClr val="00B0F0"/>
              </a:solidFill>
            </a:ln>
          </c:spPr>
          <c:marker>
            <c:symbol val="circle"/>
            <c:size val="12"/>
            <c:spPr>
              <a:solidFill>
                <a:srgbClr val="00B0F0"/>
              </a:solidFill>
              <a:ln>
                <a:solidFill>
                  <a:srgbClr val="00B0F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1.0234072593006851</c:v>
              </c:pt>
              <c:pt idx="5" formatCode="0%">
                <c:v>1.0718808350934979</c:v>
              </c:pt>
              <c:pt idx="10" formatCode="0%">
                <c:v>1.1372914107172374</c:v>
              </c:pt>
              <c:pt idx="15" formatCode="0%">
                <c:v>1.2203771218703925</c:v>
              </c:pt>
              <c:pt idx="20" formatCode="0%">
                <c:v>1.1952262031584158</c:v>
              </c:pt>
              <c:pt idx="25" formatCode="0%">
                <c:v>1.1265970127514671</c:v>
              </c:pt>
              <c:pt idx="30" formatCode="0%">
                <c:v>1.1659666452551189</c:v>
              </c:pt>
            </c:numLit>
          </c:val>
          <c:smooth val="1"/>
        </c:ser>
        <c:ser>
          <c:idx val="0"/>
          <c:order val="3"/>
          <c:tx>
            <c:v>Villages</c:v>
          </c:tx>
          <c:spPr>
            <a:ln w="50800">
              <a:solidFill>
                <a:srgbClr val="00B050"/>
              </a:solidFill>
            </a:ln>
          </c:spPr>
          <c:marker>
            <c:symbol val="square"/>
            <c:size val="12"/>
            <c:spPr>
              <a:solidFill>
                <a:srgbClr val="00B050"/>
              </a:solidFill>
              <a:ln>
                <a:solidFill>
                  <a:srgbClr val="00B050"/>
                </a:solidFill>
              </a:ln>
            </c:spPr>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General</c:formatCode>
              <c:ptCount val="31"/>
              <c:pt idx="0" formatCode="0%">
                <c:v>1.0320652209274239</c:v>
              </c:pt>
              <c:pt idx="5" formatCode="0%">
                <c:v>0.9905323892762139</c:v>
              </c:pt>
              <c:pt idx="10" formatCode="0%">
                <c:v>0.97610298540019769</c:v>
              </c:pt>
              <c:pt idx="15" formatCode="0%">
                <c:v>1.0073841800112928</c:v>
              </c:pt>
              <c:pt idx="20" formatCode="0%">
                <c:v>1.0198635286340545</c:v>
              </c:pt>
              <c:pt idx="25" formatCode="0%">
                <c:v>1.0185864459386216</c:v>
              </c:pt>
              <c:pt idx="30" formatCode="0%">
                <c:v>1.0277085910332666</c:v>
              </c:pt>
            </c:numLit>
          </c:val>
          <c:smooth val="1"/>
        </c:ser>
        <c:ser>
          <c:idx val="4"/>
          <c:order val="4"/>
          <c:spPr>
            <a:ln w="50800">
              <a:solidFill>
                <a:sysClr val="windowText" lastClr="000000"/>
              </a:solidFill>
            </a:ln>
          </c:spPr>
          <c:marker>
            <c:symbol val="none"/>
          </c:marker>
          <c:cat>
            <c:numLit>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Lit>
          </c:cat>
          <c:val>
            <c:numLit>
              <c:formatCode>0%</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numLit>
          </c:val>
          <c:smooth val="0"/>
        </c:ser>
        <c:dLbls>
          <c:showLegendKey val="0"/>
          <c:showVal val="0"/>
          <c:showCatName val="0"/>
          <c:showSerName val="0"/>
          <c:showPercent val="0"/>
          <c:showBubbleSize val="0"/>
        </c:dLbls>
        <c:marker val="1"/>
        <c:smooth val="0"/>
        <c:axId val="634628424"/>
        <c:axId val="634627248"/>
        <c:extLst/>
      </c:lineChart>
      <c:catAx>
        <c:axId val="6346284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7248"/>
        <c:crossesAt val="0"/>
        <c:auto val="1"/>
        <c:lblAlgn val="ctr"/>
        <c:lblOffset val="100"/>
        <c:tickLblSkip val="5"/>
        <c:tickMarkSkip val="5"/>
        <c:noMultiLvlLbl val="0"/>
      </c:catAx>
      <c:valAx>
        <c:axId val="634627248"/>
        <c:scaling>
          <c:orientation val="minMax"/>
          <c:max val="1.7000000000000002"/>
          <c:min val="0.9"/>
        </c:scaling>
        <c:delete val="0"/>
        <c:axPos val="l"/>
        <c:majorGridlines>
          <c:spPr>
            <a:ln w="12700">
              <a:solidFill>
                <a:srgbClr val="000000"/>
              </a:solidFill>
              <a:prstDash val="sysDash"/>
            </a:ln>
          </c:spPr>
        </c:majorGridlines>
        <c:title>
          <c:tx>
            <c:rich>
              <a:bodyPr/>
              <a:lstStyle/>
              <a:p>
                <a:pPr>
                  <a:defRPr sz="1300"/>
                </a:pPr>
                <a:r>
                  <a:rPr lang="fr-FR" sz="1200">
                    <a:latin typeface="Arial Narrow" panose="020B0606020202030204" pitchFamily="34" charset="0"/>
                  </a:rPr>
                  <a:t>Ratio</a:t>
                </a:r>
                <a:r>
                  <a:rPr lang="fr-FR" sz="1200" baseline="0">
                    <a:latin typeface="Arial Narrow" panose="020B0606020202030204" pitchFamily="34" charset="0"/>
                  </a:rPr>
                  <a:t> entre le taux de participation des 10% des communes les plus riches </a:t>
                </a:r>
              </a:p>
              <a:p>
                <a:pPr>
                  <a:defRPr sz="1300"/>
                </a:pPr>
                <a:r>
                  <a:rPr lang="fr-FR" sz="1200" baseline="0">
                    <a:latin typeface="Arial Narrow" panose="020B0606020202030204" pitchFamily="34" charset="0"/>
                  </a:rPr>
                  <a:t>et les plus pauvres au sein des métropoles, banlieues, bourgs et villages</a:t>
                </a:r>
                <a:endParaRPr lang="fr-FR" sz="1200">
                  <a:latin typeface="Arial Narrow" panose="020B0606020202030204" pitchFamily="34" charset="0"/>
                </a:endParaRPr>
              </a:p>
            </c:rich>
          </c:tx>
          <c:layout>
            <c:manualLayout>
              <c:xMode val="edge"/>
              <c:yMode val="edge"/>
              <c:x val="1.4217298651903844E-3"/>
              <c:y val="8.1278856502413191E-2"/>
            </c:manualLayout>
          </c:layout>
          <c:overlay val="0"/>
        </c:title>
        <c:numFmt formatCode="#,##0.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8424"/>
        <c:crosses val="autoZero"/>
        <c:crossBetween val="midCat"/>
        <c:majorUnit val="5.000000000000001E-2"/>
      </c:valAx>
      <c:spPr>
        <a:noFill/>
        <a:ln w="25400">
          <a:solidFill>
            <a:schemeClr val="tx1"/>
          </a:solidFill>
        </a:ln>
      </c:spPr>
    </c:plotArea>
    <c:legend>
      <c:legendPos val="l"/>
      <c:layout>
        <c:manualLayout>
          <c:xMode val="edge"/>
          <c:yMode val="edge"/>
          <c:x val="0.19806131131983795"/>
          <c:y val="0.13703688789445609"/>
          <c:w val="0.178277800822081"/>
          <c:h val="0.17446292913189262"/>
        </c:manualLayout>
      </c:layout>
      <c:overlay val="1"/>
      <c:spPr>
        <a:solidFill>
          <a:schemeClr val="bg1"/>
        </a:solidFill>
        <a:ln w="254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fr-FR" sz="1800" b="1" baseline="0"/>
              <a:t>Graph. 7. Ecarts de participation entre communes riches et pauvres: les élections européennes en perspective historique</a:t>
            </a:r>
          </a:p>
          <a:p>
            <a:pPr>
              <a:defRPr/>
            </a:pPr>
            <a:endParaRPr lang="fr-FR" sz="1800" b="0"/>
          </a:p>
        </c:rich>
      </c:tx>
      <c:layout>
        <c:manualLayout>
          <c:xMode val="edge"/>
          <c:yMode val="edge"/>
          <c:x val="0.16308743589369973"/>
          <c:y val="2.2365868209192536E-3"/>
        </c:manualLayout>
      </c:layout>
      <c:overlay val="0"/>
    </c:title>
    <c:autoTitleDeleted val="0"/>
    <c:plotArea>
      <c:layout>
        <c:manualLayout>
          <c:layoutTarget val="inner"/>
          <c:xMode val="edge"/>
          <c:yMode val="edge"/>
          <c:x val="0.1085413251169947"/>
          <c:y val="9.9589209419654989E-2"/>
          <c:w val="0.85664917674277352"/>
          <c:h val="0.69683633840924808"/>
        </c:manualLayout>
      </c:layout>
      <c:lineChart>
        <c:grouping val="standard"/>
        <c:varyColors val="0"/>
        <c:ser>
          <c:idx val="1"/>
          <c:order val="0"/>
          <c:tx>
            <c:v>Elections européennes 1994-2024</c:v>
          </c:tx>
          <c:spPr>
            <a:ln w="50800">
              <a:solidFill>
                <a:srgbClr val="FF0000"/>
              </a:solidFill>
            </a:ln>
          </c:spPr>
          <c:marker>
            <c:symbol val="square"/>
            <c:size val="8"/>
            <c:spPr>
              <a:solidFill>
                <a:srgbClr val="FF0000"/>
              </a:solidFill>
              <a:ln>
                <a:solidFill>
                  <a:srgbClr val="FF0000"/>
                </a:solidFill>
              </a:ln>
            </c:spPr>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General</c:formatCode>
              <c:ptCount val="185"/>
              <c:pt idx="154" formatCode="0%">
                <c:v>0.99251790888685409</c:v>
              </c:pt>
              <c:pt idx="159" formatCode="0%">
                <c:v>1.0165778254001596</c:v>
              </c:pt>
              <c:pt idx="164" formatCode="0%">
                <c:v>1.061582434068395</c:v>
              </c:pt>
              <c:pt idx="169" formatCode="0%">
                <c:v>1.0962363204846448</c:v>
              </c:pt>
              <c:pt idx="174" formatCode="0%">
                <c:v>1.1020561446011381</c:v>
              </c:pt>
              <c:pt idx="179" formatCode="0%">
                <c:v>1.0809892889246018</c:v>
              </c:pt>
              <c:pt idx="184" formatCode="0%">
                <c:v>1.0944597682190431</c:v>
              </c:pt>
            </c:numLit>
          </c:val>
          <c:smooth val="1"/>
        </c:ser>
        <c:ser>
          <c:idx val="3"/>
          <c:order val="1"/>
          <c:tx>
            <c:v>Elections législatives 1848-2022</c:v>
          </c:tx>
          <c:spPr>
            <a:ln w="50800">
              <a:solidFill>
                <a:srgbClr val="00B050"/>
              </a:solidFill>
            </a:ln>
          </c:spPr>
          <c:marker>
            <c:symbol val="square"/>
            <c:size val="8"/>
            <c:spPr>
              <a:solidFill>
                <a:srgbClr val="00B050"/>
              </a:solidFill>
              <a:ln>
                <a:solidFill>
                  <a:srgbClr val="00B050"/>
                </a:solidFill>
              </a:ln>
            </c:spPr>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General</c:formatCode>
              <c:ptCount val="185"/>
              <c:pt idx="8" formatCode="0%">
                <c:v>0.99076330060849438</c:v>
              </c:pt>
              <c:pt idx="9" formatCode="0%">
                <c:v>1.0341295482143984</c:v>
              </c:pt>
              <c:pt idx="31" formatCode="0%">
                <c:v>0.98384805262141228</c:v>
              </c:pt>
              <c:pt idx="32" formatCode="0%">
                <c:v>1.0501192879740398</c:v>
              </c:pt>
              <c:pt idx="36" formatCode="0%">
                <c:v>1.0080614429018924</c:v>
              </c:pt>
              <c:pt idx="41" formatCode="0%">
                <c:v>1.0162053534030442</c:v>
              </c:pt>
              <c:pt idx="45" formatCode="0%">
                <c:v>1.0020651188648591</c:v>
              </c:pt>
              <c:pt idx="49" formatCode="0%">
                <c:v>1.0102290358493522</c:v>
              </c:pt>
              <c:pt idx="53" formatCode="0%">
                <c:v>0.99938281562742004</c:v>
              </c:pt>
              <c:pt idx="58" formatCode="0%">
                <c:v>1.0110228371635896</c:v>
              </c:pt>
              <c:pt idx="62" formatCode="0%">
                <c:v>1.0204991654147149</c:v>
              </c:pt>
              <c:pt idx="66" formatCode="0%">
                <c:v>1.0143703021997401</c:v>
              </c:pt>
              <c:pt idx="70" formatCode="0%">
                <c:v>1.0159836017535655</c:v>
              </c:pt>
              <c:pt idx="74" formatCode="0%">
                <c:v>1.0086987084301262</c:v>
              </c:pt>
              <c:pt idx="79" formatCode="0%">
                <c:v>0.98094950112574764</c:v>
              </c:pt>
              <c:pt idx="84" formatCode="0%">
                <c:v>1.0255835066159811</c:v>
              </c:pt>
              <c:pt idx="88" formatCode="0%">
                <c:v>1.0186858980250517</c:v>
              </c:pt>
              <c:pt idx="92" formatCode="0%">
                <c:v>1.0169329997597878</c:v>
              </c:pt>
              <c:pt idx="96" formatCode="0%">
                <c:v>1.0254953283017336</c:v>
              </c:pt>
              <c:pt idx="105" formatCode="0%">
                <c:v>1.0739761410569089</c:v>
              </c:pt>
              <c:pt idx="106" formatCode="0%">
                <c:v>1.0448026070040004</c:v>
              </c:pt>
              <c:pt idx="107" formatCode="0%">
                <c:v>1.0380479343927733</c:v>
              </c:pt>
              <c:pt idx="111" formatCode="0%">
                <c:v>1.0283788043004376</c:v>
              </c:pt>
              <c:pt idx="116" formatCode="0%">
                <c:v>1.0233582802820909</c:v>
              </c:pt>
              <c:pt idx="118" formatCode="0%">
                <c:v>1.0101328772842004</c:v>
              </c:pt>
              <c:pt idx="122" formatCode="0%">
                <c:v>1.0080389753753614</c:v>
              </c:pt>
              <c:pt idx="127" formatCode="0%">
                <c:v>0.99175543267248911</c:v>
              </c:pt>
              <c:pt idx="128" formatCode="0%">
                <c:v>0.98047796418653299</c:v>
              </c:pt>
              <c:pt idx="133" formatCode="0%">
                <c:v>0.98604715689170352</c:v>
              </c:pt>
              <c:pt idx="138" formatCode="0%">
                <c:v>0.98369798747989068</c:v>
              </c:pt>
              <c:pt idx="141" formatCode="0%">
                <c:v>0.96202937618495676</c:v>
              </c:pt>
              <c:pt idx="146" formatCode="0%">
                <c:v>0.97603018930834284</c:v>
              </c:pt>
              <c:pt idx="148" formatCode="0%">
                <c:v>0.95051036660127108</c:v>
              </c:pt>
              <c:pt idx="153" formatCode="0%">
                <c:v>0.98122859642280003</c:v>
              </c:pt>
              <c:pt idx="157" formatCode="0%">
                <c:v>0.97113307912645341</c:v>
              </c:pt>
              <c:pt idx="162" formatCode="0%">
                <c:v>1.0345645550480977</c:v>
              </c:pt>
              <c:pt idx="167" formatCode="0%">
                <c:v>1.0340012870508613</c:v>
              </c:pt>
              <c:pt idx="172" formatCode="0%">
                <c:v>1.0420321890466469</c:v>
              </c:pt>
              <c:pt idx="177" formatCode="0%">
                <c:v>1.0832565569131687</c:v>
              </c:pt>
              <c:pt idx="182" formatCode="0%">
                <c:v>1.0928316379564393</c:v>
              </c:pt>
            </c:numLit>
          </c:val>
          <c:smooth val="1"/>
        </c:ser>
        <c:ser>
          <c:idx val="4"/>
          <c:order val="2"/>
          <c:spPr>
            <a:ln w="50800">
              <a:solidFill>
                <a:sysClr val="windowText" lastClr="000000"/>
              </a:solidFill>
            </a:ln>
          </c:spPr>
          <c:marker>
            <c:symbol val="none"/>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0%</c:formatCode>
              <c:ptCount val="18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pt idx="101">
                <c:v>1</c:v>
              </c:pt>
              <c:pt idx="102">
                <c:v>1</c:v>
              </c:pt>
              <c:pt idx="103">
                <c:v>1</c:v>
              </c:pt>
              <c:pt idx="104">
                <c:v>1</c:v>
              </c:pt>
              <c:pt idx="105">
                <c:v>1</c:v>
              </c:pt>
              <c:pt idx="106">
                <c:v>1</c:v>
              </c:pt>
              <c:pt idx="107">
                <c:v>1</c:v>
              </c:pt>
              <c:pt idx="108">
                <c:v>1</c:v>
              </c:pt>
              <c:pt idx="109">
                <c:v>1</c:v>
              </c:pt>
              <c:pt idx="110">
                <c:v>1</c:v>
              </c:pt>
              <c:pt idx="111">
                <c:v>1</c:v>
              </c:pt>
              <c:pt idx="112">
                <c:v>1</c:v>
              </c:pt>
              <c:pt idx="113">
                <c:v>1</c:v>
              </c:pt>
              <c:pt idx="114">
                <c:v>1</c:v>
              </c:pt>
              <c:pt idx="115">
                <c:v>1</c:v>
              </c:pt>
              <c:pt idx="116">
                <c:v>1</c:v>
              </c:pt>
              <c:pt idx="117">
                <c:v>1</c:v>
              </c:pt>
              <c:pt idx="118">
                <c:v>1</c:v>
              </c:pt>
              <c:pt idx="119">
                <c:v>1</c:v>
              </c:pt>
              <c:pt idx="120">
                <c:v>1</c:v>
              </c:pt>
              <c:pt idx="121">
                <c:v>1</c:v>
              </c:pt>
              <c:pt idx="122">
                <c:v>1</c:v>
              </c:pt>
              <c:pt idx="123">
                <c:v>1</c:v>
              </c:pt>
              <c:pt idx="124">
                <c:v>1</c:v>
              </c:pt>
              <c:pt idx="125">
                <c:v>1</c:v>
              </c:pt>
              <c:pt idx="126">
                <c:v>1</c:v>
              </c:pt>
              <c:pt idx="127">
                <c:v>1</c:v>
              </c:pt>
              <c:pt idx="128">
                <c:v>1</c:v>
              </c:pt>
              <c:pt idx="129">
                <c:v>1</c:v>
              </c:pt>
              <c:pt idx="130">
                <c:v>1</c:v>
              </c:pt>
              <c:pt idx="131">
                <c:v>1</c:v>
              </c:pt>
              <c:pt idx="132">
                <c:v>1</c:v>
              </c:pt>
              <c:pt idx="133">
                <c:v>1</c:v>
              </c:pt>
              <c:pt idx="134">
                <c:v>1</c:v>
              </c:pt>
              <c:pt idx="135">
                <c:v>1</c:v>
              </c:pt>
              <c:pt idx="136">
                <c:v>1</c:v>
              </c:pt>
              <c:pt idx="137">
                <c:v>1</c:v>
              </c:pt>
              <c:pt idx="138">
                <c:v>1</c:v>
              </c:pt>
              <c:pt idx="139">
                <c:v>1</c:v>
              </c:pt>
              <c:pt idx="140">
                <c:v>1</c:v>
              </c:pt>
              <c:pt idx="141">
                <c:v>1</c:v>
              </c:pt>
              <c:pt idx="142">
                <c:v>1</c:v>
              </c:pt>
              <c:pt idx="143">
                <c:v>1</c:v>
              </c:pt>
              <c:pt idx="144">
                <c:v>1</c:v>
              </c:pt>
              <c:pt idx="145">
                <c:v>1</c:v>
              </c:pt>
              <c:pt idx="146">
                <c:v>1</c:v>
              </c:pt>
              <c:pt idx="147">
                <c:v>1</c:v>
              </c:pt>
              <c:pt idx="148">
                <c:v>1</c:v>
              </c:pt>
              <c:pt idx="149">
                <c:v>1</c:v>
              </c:pt>
              <c:pt idx="150">
                <c:v>1</c:v>
              </c:pt>
              <c:pt idx="151">
                <c:v>1</c:v>
              </c:pt>
              <c:pt idx="152">
                <c:v>1</c:v>
              </c:pt>
              <c:pt idx="153">
                <c:v>1</c:v>
              </c:pt>
              <c:pt idx="154">
                <c:v>1</c:v>
              </c:pt>
              <c:pt idx="155">
                <c:v>1</c:v>
              </c:pt>
              <c:pt idx="156">
                <c:v>1</c:v>
              </c:pt>
              <c:pt idx="157">
                <c:v>1</c:v>
              </c:pt>
              <c:pt idx="158">
                <c:v>1</c:v>
              </c:pt>
              <c:pt idx="159">
                <c:v>1</c:v>
              </c:pt>
              <c:pt idx="160">
                <c:v>1</c:v>
              </c:pt>
              <c:pt idx="161">
                <c:v>1</c:v>
              </c:pt>
              <c:pt idx="162">
                <c:v>1</c:v>
              </c:pt>
              <c:pt idx="163">
                <c:v>1</c:v>
              </c:pt>
              <c:pt idx="164">
                <c:v>1</c:v>
              </c:pt>
              <c:pt idx="165">
                <c:v>1</c:v>
              </c:pt>
              <c:pt idx="166">
                <c:v>1</c:v>
              </c:pt>
              <c:pt idx="167">
                <c:v>1</c:v>
              </c:pt>
              <c:pt idx="168">
                <c:v>1</c:v>
              </c:pt>
              <c:pt idx="169">
                <c:v>1</c:v>
              </c:pt>
              <c:pt idx="170">
                <c:v>1</c:v>
              </c:pt>
              <c:pt idx="171">
                <c:v>1</c:v>
              </c:pt>
              <c:pt idx="172">
                <c:v>1</c:v>
              </c:pt>
              <c:pt idx="173">
                <c:v>1</c:v>
              </c:pt>
              <c:pt idx="174">
                <c:v>1</c:v>
              </c:pt>
              <c:pt idx="175">
                <c:v>1</c:v>
              </c:pt>
              <c:pt idx="176">
                <c:v>1</c:v>
              </c:pt>
              <c:pt idx="177">
                <c:v>1</c:v>
              </c:pt>
              <c:pt idx="178">
                <c:v>1</c:v>
              </c:pt>
              <c:pt idx="179">
                <c:v>1</c:v>
              </c:pt>
              <c:pt idx="180">
                <c:v>1</c:v>
              </c:pt>
              <c:pt idx="181">
                <c:v>1</c:v>
              </c:pt>
              <c:pt idx="182">
                <c:v>1</c:v>
              </c:pt>
              <c:pt idx="183">
                <c:v>1</c:v>
              </c:pt>
              <c:pt idx="184">
                <c:v>1</c:v>
              </c:pt>
            </c:numLit>
          </c:val>
          <c:smooth val="0"/>
        </c:ser>
        <c:dLbls>
          <c:showLegendKey val="0"/>
          <c:showVal val="0"/>
          <c:showCatName val="0"/>
          <c:showSerName val="0"/>
          <c:showPercent val="0"/>
          <c:showBubbleSize val="0"/>
        </c:dLbls>
        <c:marker val="1"/>
        <c:smooth val="0"/>
        <c:axId val="634624504"/>
        <c:axId val="634621368"/>
        <c:extLst/>
      </c:lineChart>
      <c:catAx>
        <c:axId val="6346245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1368"/>
        <c:crossesAt val="0"/>
        <c:auto val="1"/>
        <c:lblAlgn val="ctr"/>
        <c:lblOffset val="100"/>
        <c:tickLblSkip val="20"/>
        <c:tickMarkSkip val="10"/>
        <c:noMultiLvlLbl val="0"/>
      </c:catAx>
      <c:valAx>
        <c:axId val="634621368"/>
        <c:scaling>
          <c:orientation val="minMax"/>
          <c:max val="1.1200000000000001"/>
          <c:min val="0.94000000000000006"/>
        </c:scaling>
        <c:delete val="0"/>
        <c:axPos val="l"/>
        <c:majorGridlines>
          <c:spPr>
            <a:ln w="12700">
              <a:solidFill>
                <a:srgbClr val="000000"/>
              </a:solidFill>
              <a:prstDash val="sysDash"/>
            </a:ln>
          </c:spPr>
        </c:majorGridlines>
        <c:title>
          <c:tx>
            <c:rich>
              <a:bodyPr/>
              <a:lstStyle/>
              <a:p>
                <a:pPr>
                  <a:defRPr sz="1300"/>
                </a:pPr>
                <a:r>
                  <a:rPr lang="fr-FR" sz="1200">
                    <a:latin typeface="Arial Narrow" panose="020B0606020202030204" pitchFamily="34" charset="0"/>
                  </a:rPr>
                  <a:t>Ratio</a:t>
                </a:r>
                <a:r>
                  <a:rPr lang="fr-FR" sz="1200" baseline="0">
                    <a:latin typeface="Arial Narrow" panose="020B0606020202030204" pitchFamily="34" charset="0"/>
                  </a:rPr>
                  <a:t> entre le taux de participation </a:t>
                </a:r>
              </a:p>
              <a:p>
                <a:pPr>
                  <a:defRPr sz="1300"/>
                </a:pPr>
                <a:r>
                  <a:rPr lang="fr-FR" sz="1200" baseline="0">
                    <a:latin typeface="Arial Narrow" panose="020B0606020202030204" pitchFamily="34" charset="0"/>
                  </a:rPr>
                  <a:t>des 50% des communes les plus riches et des 50% les plus pauvres </a:t>
                </a:r>
                <a:endParaRPr lang="fr-FR" sz="1200">
                  <a:latin typeface="Arial Narrow" panose="020B0606020202030204" pitchFamily="34" charset="0"/>
                </a:endParaRPr>
              </a:p>
            </c:rich>
          </c:tx>
          <c:layout>
            <c:manualLayout>
              <c:xMode val="edge"/>
              <c:yMode val="edge"/>
              <c:x val="3.0347474197251791E-5"/>
              <c:y val="8.353176359518559E-2"/>
            </c:manualLayout>
          </c:layout>
          <c:overlay val="0"/>
        </c:title>
        <c:numFmt formatCode="#,##0.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4504"/>
        <c:crosses val="autoZero"/>
        <c:crossBetween val="midCat"/>
        <c:majorUnit val="2.0000000000000004E-2"/>
      </c:valAx>
      <c:spPr>
        <a:noFill/>
        <a:ln w="25400">
          <a:solidFill>
            <a:schemeClr val="tx1"/>
          </a:solidFill>
        </a:ln>
      </c:spPr>
    </c:plotArea>
    <c:legend>
      <c:legendPos val="l"/>
      <c:layout>
        <c:manualLayout>
          <c:xMode val="edge"/>
          <c:yMode val="edge"/>
          <c:x val="0.31088248373369903"/>
          <c:y val="0.13915125007073595"/>
          <c:w val="0.47176934429625794"/>
          <c:h val="8.6604409560060464E-2"/>
        </c:manualLayout>
      </c:layout>
      <c:overlay val="1"/>
      <c:spPr>
        <a:solidFill>
          <a:schemeClr val="bg1"/>
        </a:solidFill>
        <a:ln w="254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fr-FR" sz="1800" b="1" baseline="0"/>
              <a:t>Graph. 8. Ecarts de participation entre communes riches et pauvres: les élections européennes en perspective historique</a:t>
            </a:r>
          </a:p>
          <a:p>
            <a:pPr>
              <a:defRPr/>
            </a:pPr>
            <a:endParaRPr lang="fr-FR" sz="1800" b="0"/>
          </a:p>
        </c:rich>
      </c:tx>
      <c:layout>
        <c:manualLayout>
          <c:xMode val="edge"/>
          <c:yMode val="edge"/>
          <c:x val="0.16308743589369973"/>
          <c:y val="2.2365868209192536E-3"/>
        </c:manualLayout>
      </c:layout>
      <c:overlay val="0"/>
    </c:title>
    <c:autoTitleDeleted val="0"/>
    <c:plotArea>
      <c:layout>
        <c:manualLayout>
          <c:layoutTarget val="inner"/>
          <c:xMode val="edge"/>
          <c:yMode val="edge"/>
          <c:x val="0.1085413251169947"/>
          <c:y val="9.9589209419654989E-2"/>
          <c:w val="0.85664917674277352"/>
          <c:h val="0.69683633840924808"/>
        </c:manualLayout>
      </c:layout>
      <c:lineChart>
        <c:grouping val="standard"/>
        <c:varyColors val="0"/>
        <c:ser>
          <c:idx val="1"/>
          <c:order val="0"/>
          <c:tx>
            <c:v>Elections européennes 1994-2024</c:v>
          </c:tx>
          <c:spPr>
            <a:ln w="50800">
              <a:solidFill>
                <a:srgbClr val="FFC000"/>
              </a:solidFill>
            </a:ln>
          </c:spPr>
          <c:marker>
            <c:symbol val="square"/>
            <c:size val="8"/>
            <c:spPr>
              <a:solidFill>
                <a:srgbClr val="FFC000"/>
              </a:solidFill>
              <a:ln>
                <a:solidFill>
                  <a:srgbClr val="FFC000"/>
                </a:solidFill>
              </a:ln>
            </c:spPr>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General</c:formatCode>
              <c:ptCount val="185"/>
              <c:pt idx="154" formatCode="0%">
                <c:v>1.0100041210357642</c:v>
              </c:pt>
              <c:pt idx="159" formatCode="0%">
                <c:v>1.0723488421734657</c:v>
              </c:pt>
              <c:pt idx="164" formatCode="0%">
                <c:v>1.1711210287357747</c:v>
              </c:pt>
              <c:pt idx="169" formatCode="0%">
                <c:v>1.2661271611293192</c:v>
              </c:pt>
              <c:pt idx="174" formatCode="0%">
                <c:v>1.2986673098598849</c:v>
              </c:pt>
              <c:pt idx="179" formatCode="0%">
                <c:v>1.2126746534735888</c:v>
              </c:pt>
              <c:pt idx="184" formatCode="0%">
                <c:v>1.232181487277197</c:v>
              </c:pt>
            </c:numLit>
          </c:val>
          <c:smooth val="1"/>
        </c:ser>
        <c:ser>
          <c:idx val="3"/>
          <c:order val="1"/>
          <c:tx>
            <c:v>Elections législatives 1848-2022</c:v>
          </c:tx>
          <c:spPr>
            <a:ln w="50800">
              <a:solidFill>
                <a:srgbClr val="00B0F0"/>
              </a:solidFill>
            </a:ln>
          </c:spPr>
          <c:marker>
            <c:symbol val="square"/>
            <c:size val="8"/>
            <c:spPr>
              <a:solidFill>
                <a:srgbClr val="00B0F0"/>
              </a:solidFill>
              <a:ln>
                <a:solidFill>
                  <a:srgbClr val="00B0F0"/>
                </a:solidFill>
              </a:ln>
            </c:spPr>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General</c:formatCode>
              <c:ptCount val="185"/>
              <c:pt idx="8" formatCode="0%">
                <c:v>0.97889496640612761</c:v>
              </c:pt>
              <c:pt idx="9" formatCode="0%">
                <c:v>1.0722421946839338</c:v>
              </c:pt>
              <c:pt idx="31" formatCode="0%">
                <c:v>1.0056503519850928</c:v>
              </c:pt>
              <c:pt idx="32" formatCode="0%">
                <c:v>1.2005344722177329</c:v>
              </c:pt>
              <c:pt idx="36" formatCode="0%">
                <c:v>1.0567023943170604</c:v>
              </c:pt>
              <c:pt idx="41" formatCode="0%">
                <c:v>1.0449997249626612</c:v>
              </c:pt>
              <c:pt idx="45" formatCode="0%">
                <c:v>1.0241879127054998</c:v>
              </c:pt>
              <c:pt idx="49" formatCode="0%">
                <c:v>1.0471744451288996</c:v>
              </c:pt>
              <c:pt idx="53" formatCode="0%">
                <c:v>0.99615307326366342</c:v>
              </c:pt>
              <c:pt idx="58" formatCode="0%">
                <c:v>1.0536654722427543</c:v>
              </c:pt>
              <c:pt idx="62" formatCode="0%">
                <c:v>1.0757930468345247</c:v>
              </c:pt>
              <c:pt idx="66" formatCode="0%">
                <c:v>1.0569272753996599</c:v>
              </c:pt>
              <c:pt idx="70" formatCode="0%">
                <c:v>1.0582852883458804</c:v>
              </c:pt>
              <c:pt idx="74" formatCode="0%">
                <c:v>1.0389018462589805</c:v>
              </c:pt>
              <c:pt idx="79" formatCode="0%">
                <c:v>1.0479118894076935</c:v>
              </c:pt>
              <c:pt idx="84" formatCode="0%">
                <c:v>1.083512057366093</c:v>
              </c:pt>
              <c:pt idx="88" formatCode="0%">
                <c:v>1.0702670540046146</c:v>
              </c:pt>
              <c:pt idx="92" formatCode="0%">
                <c:v>1.0556728205459323</c:v>
              </c:pt>
              <c:pt idx="96" formatCode="0%">
                <c:v>1.0808780248966454</c:v>
              </c:pt>
              <c:pt idx="105" formatCode="0%">
                <c:v>1.1891450866232804</c:v>
              </c:pt>
              <c:pt idx="106" formatCode="0%">
                <c:v>1.0917775462321317</c:v>
              </c:pt>
              <c:pt idx="107" formatCode="0%">
                <c:v>1.079270488473113</c:v>
              </c:pt>
              <c:pt idx="111" formatCode="0%">
                <c:v>1.0716510747557417</c:v>
              </c:pt>
              <c:pt idx="116" formatCode="0%">
                <c:v>1.0403534574668156</c:v>
              </c:pt>
              <c:pt idx="118" formatCode="0%">
                <c:v>1.0403502823598281</c:v>
              </c:pt>
              <c:pt idx="122" formatCode="0%">
                <c:v>1.0575655979890166</c:v>
              </c:pt>
              <c:pt idx="127" formatCode="0%">
                <c:v>1.0120016728707499</c:v>
              </c:pt>
              <c:pt idx="128" formatCode="0%">
                <c:v>0.98723838455255108</c:v>
              </c:pt>
              <c:pt idx="133" formatCode="0%">
                <c:v>0.99876255976443751</c:v>
              </c:pt>
              <c:pt idx="138" formatCode="0%">
                <c:v>0.97266914653602576</c:v>
              </c:pt>
              <c:pt idx="141" formatCode="0%">
                <c:v>0.94848277192010433</c:v>
              </c:pt>
              <c:pt idx="146" formatCode="0%">
                <c:v>0.96515274214336844</c:v>
              </c:pt>
              <c:pt idx="148" formatCode="0%">
                <c:v>0.93015453294876826</c:v>
              </c:pt>
              <c:pt idx="153" formatCode="0%">
                <c:v>0.97470253793157335</c:v>
              </c:pt>
              <c:pt idx="157" formatCode="0%">
                <c:v>0.95032726101513532</c:v>
              </c:pt>
              <c:pt idx="162" formatCode="0%">
                <c:v>1.0920467107033744</c:v>
              </c:pt>
              <c:pt idx="167" formatCode="0%">
                <c:v>1.0828283308488482</c:v>
              </c:pt>
              <c:pt idx="172" formatCode="0%">
                <c:v>1.11320350166186</c:v>
              </c:pt>
              <c:pt idx="177" formatCode="0%">
                <c:v>1.2493757556844995</c:v>
              </c:pt>
              <c:pt idx="182" formatCode="0%">
                <c:v>1.2250114352834924</c:v>
              </c:pt>
            </c:numLit>
          </c:val>
          <c:smooth val="1"/>
        </c:ser>
        <c:ser>
          <c:idx val="4"/>
          <c:order val="2"/>
          <c:spPr>
            <a:ln w="50800">
              <a:solidFill>
                <a:sysClr val="windowText" lastClr="000000"/>
              </a:solidFill>
            </a:ln>
          </c:spPr>
          <c:marker>
            <c:symbol val="none"/>
          </c:marker>
          <c:cat>
            <c:numLit>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Lit>
          </c:cat>
          <c:val>
            <c:numLit>
              <c:formatCode>0%</c:formatCode>
              <c:ptCount val="18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pt idx="101">
                <c:v>1</c:v>
              </c:pt>
              <c:pt idx="102">
                <c:v>1</c:v>
              </c:pt>
              <c:pt idx="103">
                <c:v>1</c:v>
              </c:pt>
              <c:pt idx="104">
                <c:v>1</c:v>
              </c:pt>
              <c:pt idx="105">
                <c:v>1</c:v>
              </c:pt>
              <c:pt idx="106">
                <c:v>1</c:v>
              </c:pt>
              <c:pt idx="107">
                <c:v>1</c:v>
              </c:pt>
              <c:pt idx="108">
                <c:v>1</c:v>
              </c:pt>
              <c:pt idx="109">
                <c:v>1</c:v>
              </c:pt>
              <c:pt idx="110">
                <c:v>1</c:v>
              </c:pt>
              <c:pt idx="111">
                <c:v>1</c:v>
              </c:pt>
              <c:pt idx="112">
                <c:v>1</c:v>
              </c:pt>
              <c:pt idx="113">
                <c:v>1</c:v>
              </c:pt>
              <c:pt idx="114">
                <c:v>1</c:v>
              </c:pt>
              <c:pt idx="115">
                <c:v>1</c:v>
              </c:pt>
              <c:pt idx="116">
                <c:v>1</c:v>
              </c:pt>
              <c:pt idx="117">
                <c:v>1</c:v>
              </c:pt>
              <c:pt idx="118">
                <c:v>1</c:v>
              </c:pt>
              <c:pt idx="119">
                <c:v>1</c:v>
              </c:pt>
              <c:pt idx="120">
                <c:v>1</c:v>
              </c:pt>
              <c:pt idx="121">
                <c:v>1</c:v>
              </c:pt>
              <c:pt idx="122">
                <c:v>1</c:v>
              </c:pt>
              <c:pt idx="123">
                <c:v>1</c:v>
              </c:pt>
              <c:pt idx="124">
                <c:v>1</c:v>
              </c:pt>
              <c:pt idx="125">
                <c:v>1</c:v>
              </c:pt>
              <c:pt idx="126">
                <c:v>1</c:v>
              </c:pt>
              <c:pt idx="127">
                <c:v>1</c:v>
              </c:pt>
              <c:pt idx="128">
                <c:v>1</c:v>
              </c:pt>
              <c:pt idx="129">
                <c:v>1</c:v>
              </c:pt>
              <c:pt idx="130">
                <c:v>1</c:v>
              </c:pt>
              <c:pt idx="131">
                <c:v>1</c:v>
              </c:pt>
              <c:pt idx="132">
                <c:v>1</c:v>
              </c:pt>
              <c:pt idx="133">
                <c:v>1</c:v>
              </c:pt>
              <c:pt idx="134">
                <c:v>1</c:v>
              </c:pt>
              <c:pt idx="135">
                <c:v>1</c:v>
              </c:pt>
              <c:pt idx="136">
                <c:v>1</c:v>
              </c:pt>
              <c:pt idx="137">
                <c:v>1</c:v>
              </c:pt>
              <c:pt idx="138">
                <c:v>1</c:v>
              </c:pt>
              <c:pt idx="139">
                <c:v>1</c:v>
              </c:pt>
              <c:pt idx="140">
                <c:v>1</c:v>
              </c:pt>
              <c:pt idx="141">
                <c:v>1</c:v>
              </c:pt>
              <c:pt idx="142">
                <c:v>1</c:v>
              </c:pt>
              <c:pt idx="143">
                <c:v>1</c:v>
              </c:pt>
              <c:pt idx="144">
                <c:v>1</c:v>
              </c:pt>
              <c:pt idx="145">
                <c:v>1</c:v>
              </c:pt>
              <c:pt idx="146">
                <c:v>1</c:v>
              </c:pt>
              <c:pt idx="147">
                <c:v>1</c:v>
              </c:pt>
              <c:pt idx="148">
                <c:v>1</c:v>
              </c:pt>
              <c:pt idx="149">
                <c:v>1</c:v>
              </c:pt>
              <c:pt idx="150">
                <c:v>1</c:v>
              </c:pt>
              <c:pt idx="151">
                <c:v>1</c:v>
              </c:pt>
              <c:pt idx="152">
                <c:v>1</c:v>
              </c:pt>
              <c:pt idx="153">
                <c:v>1</c:v>
              </c:pt>
              <c:pt idx="154">
                <c:v>1</c:v>
              </c:pt>
              <c:pt idx="155">
                <c:v>1</c:v>
              </c:pt>
              <c:pt idx="156">
                <c:v>1</c:v>
              </c:pt>
              <c:pt idx="157">
                <c:v>1</c:v>
              </c:pt>
              <c:pt idx="158">
                <c:v>1</c:v>
              </c:pt>
              <c:pt idx="159">
                <c:v>1</c:v>
              </c:pt>
              <c:pt idx="160">
                <c:v>1</c:v>
              </c:pt>
              <c:pt idx="161">
                <c:v>1</c:v>
              </c:pt>
              <c:pt idx="162">
                <c:v>1</c:v>
              </c:pt>
              <c:pt idx="163">
                <c:v>1</c:v>
              </c:pt>
              <c:pt idx="164">
                <c:v>1</c:v>
              </c:pt>
              <c:pt idx="165">
                <c:v>1</c:v>
              </c:pt>
              <c:pt idx="166">
                <c:v>1</c:v>
              </c:pt>
              <c:pt idx="167">
                <c:v>1</c:v>
              </c:pt>
              <c:pt idx="168">
                <c:v>1</c:v>
              </c:pt>
              <c:pt idx="169">
                <c:v>1</c:v>
              </c:pt>
              <c:pt idx="170">
                <c:v>1</c:v>
              </c:pt>
              <c:pt idx="171">
                <c:v>1</c:v>
              </c:pt>
              <c:pt idx="172">
                <c:v>1</c:v>
              </c:pt>
              <c:pt idx="173">
                <c:v>1</c:v>
              </c:pt>
              <c:pt idx="174">
                <c:v>1</c:v>
              </c:pt>
              <c:pt idx="175">
                <c:v>1</c:v>
              </c:pt>
              <c:pt idx="176">
                <c:v>1</c:v>
              </c:pt>
              <c:pt idx="177">
                <c:v>1</c:v>
              </c:pt>
              <c:pt idx="178">
                <c:v>1</c:v>
              </c:pt>
              <c:pt idx="179">
                <c:v>1</c:v>
              </c:pt>
              <c:pt idx="180">
                <c:v>1</c:v>
              </c:pt>
              <c:pt idx="181">
                <c:v>1</c:v>
              </c:pt>
              <c:pt idx="182">
                <c:v>1</c:v>
              </c:pt>
              <c:pt idx="183">
                <c:v>1</c:v>
              </c:pt>
              <c:pt idx="184">
                <c:v>1</c:v>
              </c:pt>
            </c:numLit>
          </c:val>
          <c:smooth val="0"/>
        </c:ser>
        <c:dLbls>
          <c:showLegendKey val="0"/>
          <c:showVal val="0"/>
          <c:showCatName val="0"/>
          <c:showSerName val="0"/>
          <c:showPercent val="0"/>
          <c:showBubbleSize val="0"/>
        </c:dLbls>
        <c:marker val="1"/>
        <c:smooth val="0"/>
        <c:axId val="634622152"/>
        <c:axId val="634624112"/>
        <c:extLst/>
      </c:lineChart>
      <c:catAx>
        <c:axId val="6346221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4112"/>
        <c:crossesAt val="0"/>
        <c:auto val="1"/>
        <c:lblAlgn val="ctr"/>
        <c:lblOffset val="100"/>
        <c:tickLblSkip val="20"/>
        <c:tickMarkSkip val="10"/>
        <c:noMultiLvlLbl val="0"/>
      </c:catAx>
      <c:valAx>
        <c:axId val="634624112"/>
        <c:scaling>
          <c:orientation val="minMax"/>
          <c:max val="1.32"/>
          <c:min val="0.9"/>
        </c:scaling>
        <c:delete val="0"/>
        <c:axPos val="l"/>
        <c:majorGridlines>
          <c:spPr>
            <a:ln w="12700">
              <a:solidFill>
                <a:srgbClr val="000000"/>
              </a:solidFill>
              <a:prstDash val="sysDash"/>
            </a:ln>
          </c:spPr>
        </c:majorGridlines>
        <c:title>
          <c:tx>
            <c:rich>
              <a:bodyPr/>
              <a:lstStyle/>
              <a:p>
                <a:pPr>
                  <a:defRPr sz="1300"/>
                </a:pPr>
                <a:r>
                  <a:rPr lang="fr-FR" sz="1200">
                    <a:latin typeface="Arial Narrow" panose="020B0606020202030204" pitchFamily="34" charset="0"/>
                  </a:rPr>
                  <a:t>Ratio</a:t>
                </a:r>
                <a:r>
                  <a:rPr lang="fr-FR" sz="1200" baseline="0">
                    <a:latin typeface="Arial Narrow" panose="020B0606020202030204" pitchFamily="34" charset="0"/>
                  </a:rPr>
                  <a:t> entre le taux de participation </a:t>
                </a:r>
              </a:p>
              <a:p>
                <a:pPr>
                  <a:defRPr sz="1300"/>
                </a:pPr>
                <a:r>
                  <a:rPr lang="fr-FR" sz="1200" baseline="0">
                    <a:latin typeface="Arial Narrow" panose="020B0606020202030204" pitchFamily="34" charset="0"/>
                  </a:rPr>
                  <a:t>des 10% des communes les plus riches et des 10% les plus pauvres </a:t>
                </a:r>
                <a:endParaRPr lang="fr-FR" sz="1200">
                  <a:latin typeface="Arial Narrow" panose="020B0606020202030204" pitchFamily="34" charset="0"/>
                </a:endParaRPr>
              </a:p>
            </c:rich>
          </c:tx>
          <c:layout>
            <c:manualLayout>
              <c:xMode val="edge"/>
              <c:yMode val="edge"/>
              <c:x val="3.0347474197251791E-5"/>
              <c:y val="8.353176359518559E-2"/>
            </c:manualLayout>
          </c:layout>
          <c:overlay val="0"/>
        </c:title>
        <c:numFmt formatCode="#,##0.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2152"/>
        <c:crosses val="autoZero"/>
        <c:crossBetween val="midCat"/>
        <c:majorUnit val="5.000000000000001E-2"/>
      </c:valAx>
      <c:spPr>
        <a:noFill/>
        <a:ln w="25400">
          <a:solidFill>
            <a:schemeClr val="tx1"/>
          </a:solidFill>
        </a:ln>
      </c:spPr>
    </c:plotArea>
    <c:legend>
      <c:legendPos val="l"/>
      <c:layout>
        <c:manualLayout>
          <c:xMode val="edge"/>
          <c:yMode val="edge"/>
          <c:x val="0.32897045481660975"/>
          <c:y val="0.16843904227677725"/>
          <c:w val="0.41333128387454632"/>
          <c:h val="8.6604409560060464E-2"/>
        </c:manualLayout>
      </c:layout>
      <c:overlay val="1"/>
      <c:spPr>
        <a:solidFill>
          <a:schemeClr val="bg1"/>
        </a:solidFill>
        <a:ln w="254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900" b="1" baseline="0">
                <a:latin typeface="Arial" panose="020B0604020202020204" pitchFamily="34" charset="0"/>
                <a:cs typeface="Arial" panose="020B0604020202020204" pitchFamily="34" charset="0"/>
              </a:rPr>
              <a:t>Graph. 9. Essor et déclin de la tripartition: les courants politiques lors des scrutins européens en France, 1994-2022</a:t>
            </a:r>
            <a:endParaRPr lang="fr-FR" sz="1900" b="0" baseline="0">
              <a:latin typeface="Arial" panose="020B0604020202020204" pitchFamily="34" charset="0"/>
              <a:cs typeface="Arial" panose="020B0604020202020204" pitchFamily="34" charset="0"/>
            </a:endParaRPr>
          </a:p>
        </c:rich>
      </c:tx>
      <c:layout>
        <c:manualLayout>
          <c:xMode val="edge"/>
          <c:yMode val="edge"/>
          <c:x val="0.15347517472530883"/>
          <c:y val="2.2032367001758508E-3"/>
        </c:manualLayout>
      </c:layout>
      <c:overlay val="0"/>
      <c:spPr>
        <a:noFill/>
        <a:ln w="25400">
          <a:noFill/>
        </a:ln>
      </c:spPr>
    </c:title>
    <c:autoTitleDeleted val="0"/>
    <c:plotArea>
      <c:layout>
        <c:manualLayout>
          <c:layoutTarget val="inner"/>
          <c:xMode val="edge"/>
          <c:yMode val="edge"/>
          <c:x val="9.8780613766609557E-2"/>
          <c:y val="0.10406572504921791"/>
          <c:w val="0.86780104755142351"/>
          <c:h val="0.64287056684273536"/>
        </c:manualLayout>
      </c:layout>
      <c:lineChart>
        <c:grouping val="standard"/>
        <c:varyColors val="0"/>
        <c:ser>
          <c:idx val="2"/>
          <c:order val="0"/>
          <c:tx>
            <c:v>Gauches</c:v>
          </c:tx>
          <c:spPr>
            <a:ln w="50800">
              <a:solidFill>
                <a:srgbClr val="FF0000"/>
              </a:solidFill>
            </a:ln>
          </c:spPr>
          <c:marker>
            <c:symbol val="triangle"/>
            <c:size val="11"/>
            <c:spPr>
              <a:solidFill>
                <a:schemeClr val="bg1"/>
              </a:solidFill>
              <a:ln w="25400">
                <a:solidFill>
                  <a:srgbClr val="FF0000"/>
                </a:solidFill>
              </a:ln>
            </c:spPr>
          </c:marker>
          <c:val>
            <c:numRef>
              <c:f>Data2!$I$6:$I$36</c:f>
              <c:numCache>
                <c:formatCode>General</c:formatCode>
                <c:ptCount val="31"/>
                <c:pt idx="0" formatCode="0%">
                  <c:v>0.44840715920991669</c:v>
                </c:pt>
                <c:pt idx="5" formatCode="0%">
                  <c:v>0.48007350304679874</c:v>
                </c:pt>
                <c:pt idx="10" formatCode="0%">
                  <c:v>0.48034319061473335</c:v>
                </c:pt>
                <c:pt idx="15" formatCode="0%">
                  <c:v>0.4704436821192936</c:v>
                </c:pt>
                <c:pt idx="20" formatCode="0%">
                  <c:v>0.35545695570919389</c:v>
                </c:pt>
                <c:pt idx="25" formatCode="0%">
                  <c:v>0.34133151037683385</c:v>
                </c:pt>
                <c:pt idx="30" formatCode="0%">
                  <c:v>0.35288719160427945</c:v>
                </c:pt>
              </c:numCache>
            </c:numRef>
          </c:val>
          <c:smooth val="0"/>
        </c:ser>
        <c:ser>
          <c:idx val="1"/>
          <c:order val="1"/>
          <c:tx>
            <c:v>Centres</c:v>
          </c:tx>
          <c:spPr>
            <a:ln w="47625">
              <a:solidFill>
                <a:schemeClr val="accent4"/>
              </a:solidFill>
            </a:ln>
          </c:spPr>
          <c:marker>
            <c:spPr>
              <a:solidFill>
                <a:schemeClr val="bg1"/>
              </a:solidFill>
              <a:ln w="25400">
                <a:solidFill>
                  <a:schemeClr val="accent4"/>
                </a:solidFill>
              </a:ln>
            </c:spPr>
          </c:marker>
          <c:val>
            <c:numRef>
              <c:f>Data2!$J$6:$J$36</c:f>
              <c:numCache>
                <c:formatCode>General</c:formatCode>
                <c:ptCount val="31"/>
                <c:pt idx="0" formatCode="0%">
                  <c:v>3.5989667016145706E-2</c:v>
                </c:pt>
                <c:pt idx="5" formatCode="0%">
                  <c:v>3.7061081048961594E-2</c:v>
                </c:pt>
                <c:pt idx="10" formatCode="0%">
                  <c:v>1.4066497819469261E-2</c:v>
                </c:pt>
                <c:pt idx="15" formatCode="0%">
                  <c:v>9.3953967012157719E-2</c:v>
                </c:pt>
                <c:pt idx="20" formatCode="0%">
                  <c:v>0.10799023661416848</c:v>
                </c:pt>
                <c:pt idx="25" formatCode="0%">
                  <c:v>0.25045427779431995</c:v>
                </c:pt>
                <c:pt idx="30" formatCode="0%">
                  <c:v>0.16136108393420193</c:v>
                </c:pt>
              </c:numCache>
            </c:numRef>
          </c:val>
          <c:smooth val="0"/>
        </c:ser>
        <c:ser>
          <c:idx val="0"/>
          <c:order val="2"/>
          <c:tx>
            <c:v>Droites</c:v>
          </c:tx>
          <c:spPr>
            <a:ln w="50800">
              <a:solidFill>
                <a:srgbClr val="00B0F0"/>
              </a:solidFill>
            </a:ln>
          </c:spPr>
          <c:marker>
            <c:symbol val="circle"/>
            <c:size val="11"/>
            <c:spPr>
              <a:solidFill>
                <a:schemeClr val="bg1"/>
              </a:solidFill>
              <a:ln w="25400">
                <a:solidFill>
                  <a:srgbClr val="00B0F0"/>
                </a:solidFill>
              </a:ln>
            </c:spPr>
          </c:marker>
          <c:cat>
            <c:numRef>
              <c:f>Data2!$A$6:$A$36</c:f>
              <c:numCache>
                <c:formatCode>General</c:formatCode>
                <c:ptCount val="31"/>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c:v>
                </c:pt>
                <c:pt idx="16">
                  <c:v>2010</c:v>
                </c:pt>
                <c:pt idx="17">
                  <c:v>2011</c:v>
                </c:pt>
                <c:pt idx="18">
                  <c:v>2012</c:v>
                </c:pt>
                <c:pt idx="19">
                  <c:v>2013</c:v>
                </c:pt>
                <c:pt idx="20">
                  <c:v>2014</c:v>
                </c:pt>
                <c:pt idx="21">
                  <c:v>2015</c:v>
                </c:pt>
                <c:pt idx="22">
                  <c:v>2016</c:v>
                </c:pt>
                <c:pt idx="23">
                  <c:v>2017</c:v>
                </c:pt>
                <c:pt idx="24">
                  <c:v>2018</c:v>
                </c:pt>
                <c:pt idx="25">
                  <c:v>2019</c:v>
                </c:pt>
                <c:pt idx="26">
                  <c:v>2020</c:v>
                </c:pt>
                <c:pt idx="27">
                  <c:v>2021</c:v>
                </c:pt>
                <c:pt idx="28">
                  <c:v>2022</c:v>
                </c:pt>
                <c:pt idx="29">
                  <c:v>2023</c:v>
                </c:pt>
                <c:pt idx="30">
                  <c:v>2024</c:v>
                </c:pt>
              </c:numCache>
            </c:numRef>
          </c:cat>
          <c:val>
            <c:numRef>
              <c:f>Data2!$K$6:$K$36</c:f>
              <c:numCache>
                <c:formatCode>General</c:formatCode>
                <c:ptCount val="31"/>
                <c:pt idx="0" formatCode="0%">
                  <c:v>0.51560317314247928</c:v>
                </c:pt>
                <c:pt idx="5" formatCode="0%">
                  <c:v>0.48286541657660825</c:v>
                </c:pt>
                <c:pt idx="10" formatCode="0%">
                  <c:v>0.50559031276737887</c:v>
                </c:pt>
                <c:pt idx="15" formatCode="0%">
                  <c:v>0.43560234952994464</c:v>
                </c:pt>
                <c:pt idx="20" formatCode="0%">
                  <c:v>0.53655280737401878</c:v>
                </c:pt>
                <c:pt idx="25" formatCode="0%">
                  <c:v>0.40821421596825835</c:v>
                </c:pt>
                <c:pt idx="30" formatCode="0%">
                  <c:v>0.48575172878660888</c:v>
                </c:pt>
              </c:numCache>
            </c:numRef>
          </c:val>
          <c:smooth val="0"/>
        </c:ser>
        <c:dLbls>
          <c:showLegendKey val="0"/>
          <c:showVal val="0"/>
          <c:showCatName val="0"/>
          <c:showSerName val="0"/>
          <c:showPercent val="0"/>
          <c:showBubbleSize val="0"/>
        </c:dLbls>
        <c:marker val="1"/>
        <c:smooth val="0"/>
        <c:axId val="634626072"/>
        <c:axId val="634630384"/>
      </c:lineChart>
      <c:catAx>
        <c:axId val="6346260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30384"/>
        <c:crossesAt val="0"/>
        <c:auto val="1"/>
        <c:lblAlgn val="ctr"/>
        <c:lblOffset val="100"/>
        <c:tickLblSkip val="5"/>
        <c:tickMarkSkip val="5"/>
        <c:noMultiLvlLbl val="0"/>
      </c:catAx>
      <c:valAx>
        <c:axId val="634630384"/>
        <c:scaling>
          <c:orientation val="minMax"/>
          <c:max val="0.8"/>
          <c:min val="0"/>
        </c:scaling>
        <c:delete val="0"/>
        <c:axPos val="l"/>
        <c:majorGridlines>
          <c:spPr>
            <a:ln w="12700">
              <a:solidFill>
                <a:srgbClr val="000000"/>
              </a:solidFill>
              <a:prstDash val="sysDash"/>
            </a:ln>
          </c:spPr>
        </c:majorGridlines>
        <c:title>
          <c:tx>
            <c:rich>
              <a:bodyPr/>
              <a:lstStyle/>
              <a:p>
                <a:pPr>
                  <a:defRPr/>
                </a:pPr>
                <a:r>
                  <a:rPr lang="fr-FR" sz="1200" baseline="0"/>
                  <a:t>Répartition des suffrages exprmés entre courants politiques </a:t>
                </a:r>
                <a:endParaRPr lang="fr-FR" sz="1200"/>
              </a:p>
            </c:rich>
          </c:tx>
          <c:layout>
            <c:manualLayout>
              <c:xMode val="edge"/>
              <c:yMode val="edge"/>
              <c:x val="4.1762052108622978E-3"/>
              <c:y val="7.265506229046987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4626072"/>
        <c:crosses val="autoZero"/>
        <c:crossBetween val="midCat"/>
        <c:majorUnit val="0.1"/>
      </c:valAx>
      <c:spPr>
        <a:solidFill>
          <a:schemeClr val="bg1"/>
        </a:solidFill>
        <a:ln w="25400">
          <a:solidFill>
            <a:schemeClr val="tx1"/>
          </a:solidFill>
        </a:ln>
      </c:spPr>
    </c:plotArea>
    <c:legend>
      <c:legendPos val="l"/>
      <c:layout>
        <c:manualLayout>
          <c:xMode val="edge"/>
          <c:yMode val="edge"/>
          <c:x val="0.35515572362675762"/>
          <c:y val="0.13192385315941837"/>
          <c:w val="0.34946949543969524"/>
          <c:h val="7.0996684844829724E-2"/>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0.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1.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chartsheets/_rels/sheet25.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26.bin"/></Relationships>
</file>

<file path=xl/chartsheets/_rels/sheet26.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27.bin"/></Relationships>
</file>

<file path=xl/chartsheets/_rels/sheet27.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28.bin"/></Relationships>
</file>

<file path=xl/chartsheets/_rels/sheet28.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29.bin"/></Relationships>
</file>

<file path=xl/chartsheets/_rels/sheet29.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30.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30.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31.bin"/></Relationships>
</file>

<file path=xl/chartsheets/_rels/sheet31.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32.bin"/></Relationships>
</file>

<file path=xl/chartsheets/_rels/sheet32.xml.rels><?xml version="1.0" encoding="UTF-8" standalone="yes"?>
<Relationships xmlns="http://schemas.openxmlformats.org/package/2006/relationships"><Relationship Id="rId2" Type="http://schemas.openxmlformats.org/officeDocument/2006/relationships/drawing" Target="../drawings/drawing63.xml"/><Relationship Id="rId1" Type="http://schemas.openxmlformats.org/officeDocument/2006/relationships/printerSettings" Target="../printerSettings/printerSettings33.bin"/></Relationships>
</file>

<file path=xl/chartsheets/_rels/sheet33.xml.rels><?xml version="1.0" encoding="UTF-8" standalone="yes"?>
<Relationships xmlns="http://schemas.openxmlformats.org/package/2006/relationships"><Relationship Id="rId2" Type="http://schemas.openxmlformats.org/officeDocument/2006/relationships/drawing" Target="../drawings/drawing65.xml"/><Relationship Id="rId1" Type="http://schemas.openxmlformats.org/officeDocument/2006/relationships/printerSettings" Target="../printerSettings/printerSettings34.bin"/></Relationships>
</file>

<file path=xl/chartsheets/_rels/sheet34.xml.rels><?xml version="1.0" encoding="UTF-8" standalone="yes"?>
<Relationships xmlns="http://schemas.openxmlformats.org/package/2006/relationships"><Relationship Id="rId2" Type="http://schemas.openxmlformats.org/officeDocument/2006/relationships/drawing" Target="../drawings/drawing67.xml"/><Relationship Id="rId1" Type="http://schemas.openxmlformats.org/officeDocument/2006/relationships/printerSettings" Target="../printerSettings/printerSettings35.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sheetPr codeName="Graphique8">
    <tabColor rgb="FF00B05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codeName="Graphique6">
    <tabColor rgb="FFFF000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codeName="Graphique7">
    <tabColor rgb="FFFF000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5" right="0.75" top="1" bottom="1" header="0.5" footer="0.5"/>
  <pageSetup paperSize="9" orientation="landscape" r:id="rId1"/>
  <drawing r:id="rId2"/>
</chartsheet>
</file>

<file path=xl/chartsheets/sheet13.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5" right="0.75" top="1" bottom="1" header="0.5" footer="0.5"/>
  <pageSetup paperSize="9" orientation="landscape" r:id="rId1"/>
  <drawing r:id="rId2"/>
</chartsheet>
</file>

<file path=xl/chartsheets/sheet14.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5" right="0.75" top="1" bottom="1" header="0.5" footer="0.5"/>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5" right="0.75" top="1" bottom="1" header="0.5" footer="0.5"/>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5" right="0.75" top="1" bottom="1" header="0.5" footer="0.5"/>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5" right="0.75" top="1" bottom="1" header="0.5" footer="0.5"/>
  <pageSetup paperSize="9" orientation="landscape" r:id="rId1"/>
  <drawing r:id="rId2"/>
</chartsheet>
</file>

<file path=xl/chartsheets/sheet18.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5" right="0.75" top="1" bottom="1" header="0.5" footer="0.5"/>
  <pageSetup paperSize="9" orientation="landscape" r:id="rId1"/>
  <drawing r:id="rId2"/>
</chartsheet>
</file>

<file path=xl/chartsheets/sheet19.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codeName="Graphique3">
    <tabColor rgb="FF00B05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5" right="0.75" top="1" bottom="1" header="0.5" footer="0.5"/>
  <pageSetup paperSize="9" orientation="landscape" r:id="rId1"/>
  <drawing r:id="rId2"/>
</chartsheet>
</file>

<file path=xl/chartsheets/sheet21.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2.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3.xml><?xml version="1.0" encoding="utf-8"?>
<chartsheet xmlns="http://schemas.openxmlformats.org/spreadsheetml/2006/main" xmlns:r="http://schemas.openxmlformats.org/officeDocument/2006/relationships">
  <sheetPr>
    <tabColor rgb="FFFFFF0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4.xml><?xml version="1.0" encoding="utf-8"?>
<chartsheet xmlns="http://schemas.openxmlformats.org/spreadsheetml/2006/main" xmlns:r="http://schemas.openxmlformats.org/officeDocument/2006/relationships">
  <sheetPr>
    <tabColor rgb="FFFCAAEE"/>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5.xml><?xml version="1.0" encoding="utf-8"?>
<chartsheet xmlns="http://schemas.openxmlformats.org/spreadsheetml/2006/main" xmlns:r="http://schemas.openxmlformats.org/officeDocument/2006/relationships">
  <sheetPr>
    <tabColor rgb="FFFCAAEE"/>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6.xml><?xml version="1.0" encoding="utf-8"?>
<chartsheet xmlns="http://schemas.openxmlformats.org/spreadsheetml/2006/main" xmlns:r="http://schemas.openxmlformats.org/officeDocument/2006/relationships">
  <sheetPr>
    <tabColor rgb="FFFCAAEE"/>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7.xml><?xml version="1.0" encoding="utf-8"?>
<chartsheet xmlns="http://schemas.openxmlformats.org/spreadsheetml/2006/main" xmlns:r="http://schemas.openxmlformats.org/officeDocument/2006/relationships">
  <sheetPr>
    <tabColor rgb="FFFCAAEE"/>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8.xml><?xml version="1.0" encoding="utf-8"?>
<chartsheet xmlns="http://schemas.openxmlformats.org/spreadsheetml/2006/main" xmlns:r="http://schemas.openxmlformats.org/officeDocument/2006/relationships">
  <sheetPr>
    <tabColor rgb="FFFCAAEE"/>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9.xml><?xml version="1.0" encoding="utf-8"?>
<chartsheet xmlns="http://schemas.openxmlformats.org/spreadsheetml/2006/main" xmlns:r="http://schemas.openxmlformats.org/officeDocument/2006/relationships">
  <sheetPr>
    <tabColor rgb="FFFCAAEE"/>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rgb="FF00B05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0.xml><?xml version="1.0" encoding="utf-8"?>
<chartsheet xmlns="http://schemas.openxmlformats.org/spreadsheetml/2006/main" xmlns:r="http://schemas.openxmlformats.org/officeDocument/2006/relationships">
  <sheetPr>
    <tabColor rgb="FFFCAAEE"/>
  </sheetPr>
  <sheetViews>
    <sheetView zoomScale="90"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1.xml><?xml version="1.0" encoding="utf-8"?>
<chartsheet xmlns="http://schemas.openxmlformats.org/spreadsheetml/2006/main" xmlns:r="http://schemas.openxmlformats.org/officeDocument/2006/relationships">
  <sheetPr>
    <tabColor rgb="FFFCAAEE"/>
  </sheetPr>
  <sheetViews>
    <sheetView zoomScale="90"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2.xml><?xml version="1.0" encoding="utf-8"?>
<chartsheet xmlns="http://schemas.openxmlformats.org/spreadsheetml/2006/main" xmlns:r="http://schemas.openxmlformats.org/officeDocument/2006/relationships">
  <sheetPr>
    <tabColor rgb="FFFCAAEE"/>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3.xml><?xml version="1.0" encoding="utf-8"?>
<chartsheet xmlns="http://schemas.openxmlformats.org/spreadsheetml/2006/main" xmlns:r="http://schemas.openxmlformats.org/officeDocument/2006/relationships">
  <sheetPr>
    <tabColor rgb="FFFCAAEE"/>
  </sheetPr>
  <sheetViews>
    <sheetView zoomScale="90"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4.xml><?xml version="1.0" encoding="utf-8"?>
<chartsheet xmlns="http://schemas.openxmlformats.org/spreadsheetml/2006/main" xmlns:r="http://schemas.openxmlformats.org/officeDocument/2006/relationships">
  <sheetPr>
    <tabColor rgb="FFFCAAEE"/>
  </sheetPr>
  <sheetViews>
    <sheetView zoomScale="90"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rgb="FF00B05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rgb="FF00B05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rgb="FF00B05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rgb="FF00B05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rgb="FF00B05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codeName="Graphique4">
    <tabColor rgb="FFFF0000"/>
  </sheetPr>
  <sheetViews>
    <sheetView zoomScale="9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65.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67.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0.0306</cdr:x>
      <cdr:y>0.88821</cdr:y>
    </cdr:from>
    <cdr:to>
      <cdr:x>1</cdr:x>
      <cdr:y>0.96652</cdr:y>
    </cdr:to>
    <cdr:sp macro="" textlink="">
      <cdr:nvSpPr>
        <cdr:cNvPr id="4" name="Rectangle 3"/>
        <cdr:cNvSpPr/>
      </cdr:nvSpPr>
      <cdr:spPr>
        <a:xfrm xmlns:a="http://schemas.openxmlformats.org/drawingml/2006/main">
          <a:off x="279324" y="4999703"/>
          <a:ext cx="8848289" cy="44081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Des élections européennes de 1994 à celles de 2024, la participation a toujours été en moyenne plus forte dans les petites agglomérations que dans les grands agglomérations.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0.00557</cdr:x>
      <cdr:y>0.87045</cdr:y>
    </cdr:from>
    <cdr:to>
      <cdr:x>0.99192</cdr:x>
      <cdr:y>0.97234</cdr:y>
    </cdr:to>
    <cdr:sp macro="" textlink="">
      <cdr:nvSpPr>
        <cdr:cNvPr id="4" name="Rectangle 3"/>
        <cdr:cNvSpPr/>
      </cdr:nvSpPr>
      <cdr:spPr>
        <a:xfrm xmlns:a="http://schemas.openxmlformats.org/drawingml/2006/main">
          <a:off x="50800" y="4899742"/>
          <a:ext cx="9003071" cy="57354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Des élections européennes de 1994 à celles de 2024, l'évolution la plus spectaculaire concerne l'envolée des écarts de participation au sein des territoires. En 2024, la participation est 1,52 fois plus élevée au sein des 10% des banlieues les plus riches qu'au sein des 10% des banlieues les plus pauvres (à comparer à un ratio de seulement 1,08 en 1994).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0.01364</cdr:x>
      <cdr:y>0.86492</cdr:y>
    </cdr:from>
    <cdr:to>
      <cdr:x>1</cdr:x>
      <cdr:y>0.96681</cdr:y>
    </cdr:to>
    <cdr:sp macro="" textlink="">
      <cdr:nvSpPr>
        <cdr:cNvPr id="5" name="Rectangle 4"/>
        <cdr:cNvSpPr/>
      </cdr:nvSpPr>
      <cdr:spPr>
        <a:xfrm xmlns:a="http://schemas.openxmlformats.org/drawingml/2006/main">
          <a:off x="124542" y="4868607"/>
          <a:ext cx="9003071" cy="57354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Des élections européennes de 1994 à celles de 2024, les écarts de participation entre communes riches et pauvres ont fortement progressé, dans des proportions voisines à celles observées aux élections législatives. Ces écarts de participation se situent au cours des dernières élections au niveau le plus élevé jamais observé depuis deux siècles.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0.00646</cdr:x>
      <cdr:y>0.86346</cdr:y>
    </cdr:from>
    <cdr:to>
      <cdr:x>0.99282</cdr:x>
      <cdr:y>0.96536</cdr:y>
    </cdr:to>
    <cdr:sp macro="" textlink="">
      <cdr:nvSpPr>
        <cdr:cNvPr id="4" name="Rectangle 3"/>
        <cdr:cNvSpPr/>
      </cdr:nvSpPr>
      <cdr:spPr>
        <a:xfrm xmlns:a="http://schemas.openxmlformats.org/drawingml/2006/main">
          <a:off x="58994" y="4860413"/>
          <a:ext cx="9003071" cy="57354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Des élections européennes de 1994 à celles de 2024, les écarts de participation entre communes riches et pauvres ont fortement progressé, dans des proportions voisines à celles observées aux élections législatives. Ces écarts de participation se situent au cours des dernières élections au niveau le plus élevé jamais observé depuis deux siècles.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0.758</cdr:x>
      <cdr:y>0.16709</cdr:y>
    </cdr:from>
    <cdr:to>
      <cdr:x>0.93443</cdr:x>
      <cdr:y>0.32962</cdr:y>
    </cdr:to>
    <cdr:sp macro="" textlink="">
      <cdr:nvSpPr>
        <cdr:cNvPr id="5" name="ZoneTexte 4"/>
        <cdr:cNvSpPr txBox="1"/>
      </cdr:nvSpPr>
      <cdr:spPr>
        <a:xfrm xmlns:a="http://schemas.openxmlformats.org/drawingml/2006/main">
          <a:off x="6914972" y="940037"/>
          <a:ext cx="1609458"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0.01771</cdr:x>
      <cdr:y>0.81698</cdr:y>
    </cdr:from>
    <cdr:to>
      <cdr:x>0.9889</cdr:x>
      <cdr:y>0.94905</cdr:y>
    </cdr:to>
    <cdr:sp macro="" textlink="">
      <cdr:nvSpPr>
        <cdr:cNvPr id="10" name="Rectangle 9"/>
        <cdr:cNvSpPr/>
      </cdr:nvSpPr>
      <cdr:spPr>
        <a:xfrm xmlns:a="http://schemas.openxmlformats.org/drawingml/2006/main">
          <a:off x="161656" y="4598774"/>
          <a:ext cx="8864646" cy="7434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Des élections européennes de 1994 à celles de 2024, les listes classées à gauche incluent celles du PCF, PS, LFI, EELV, MRG, etc. Les listes classées à droite incluent celles du RPR, UDF, UMP, LR, MPF, DLF, FN, RN, Reconquête, etc. Les listes classées au centre incluent celles du Modem, LREM, Renaissance, Ensemble, UDI, etc.  On constate une progression importante du bloc du centre entre 2004 et 2019, suivie par une forte baisse en 2024, au bénéfice principalement du bloc de droite.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0.02001</cdr:x>
      <cdr:y>0.85222</cdr:y>
    </cdr:from>
    <cdr:to>
      <cdr:x>0.98474</cdr:x>
      <cdr:y>0.95349</cdr:y>
    </cdr:to>
    <cdr:sp macro="" textlink="">
      <cdr:nvSpPr>
        <cdr:cNvPr id="6" name="Rectangle 5"/>
        <cdr:cNvSpPr/>
      </cdr:nvSpPr>
      <cdr:spPr>
        <a:xfrm xmlns:a="http://schemas.openxmlformats.org/drawingml/2006/main">
          <a:off x="182661" y="4804086"/>
          <a:ext cx="8805661" cy="57088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participation aux élections européennes est passée de 61% en 1979 à 41% en 2009, avant de remonter à 54% en 2024.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La participation indiquée ici est celle observée en France métropolitaine. De la même façon, tous les résultats électoraux à l'échelon communal analysés dans cette étude portent exclusivement sur la France métropolitaine.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0.758</cdr:x>
      <cdr:y>0.16709</cdr:y>
    </cdr:from>
    <cdr:to>
      <cdr:x>0.93443</cdr:x>
      <cdr:y>0.32962</cdr:y>
    </cdr:to>
    <cdr:sp macro="" textlink="">
      <cdr:nvSpPr>
        <cdr:cNvPr id="5" name="ZoneTexte 4"/>
        <cdr:cNvSpPr txBox="1"/>
      </cdr:nvSpPr>
      <cdr:spPr>
        <a:xfrm xmlns:a="http://schemas.openxmlformats.org/drawingml/2006/main">
          <a:off x="6914972" y="940037"/>
          <a:ext cx="1609458"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0.00718</cdr:x>
      <cdr:y>0.81583</cdr:y>
    </cdr:from>
    <cdr:to>
      <cdr:x>0.98063</cdr:x>
      <cdr:y>0.94323</cdr:y>
    </cdr:to>
    <cdr:sp macro="" textlink="">
      <cdr:nvSpPr>
        <cdr:cNvPr id="7" name="Rectangle 6"/>
        <cdr:cNvSpPr/>
      </cdr:nvSpPr>
      <cdr:spPr>
        <a:xfrm xmlns:a="http://schemas.openxmlformats.org/drawingml/2006/main">
          <a:off x="65548" y="4592282"/>
          <a:ext cx="8885263" cy="71713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Pour toutes les élections européennes de 1994 à 2024, les listes ont été classées en gauche, centre-gauche, centre, centre-droit et droite. Le bloc de gauche rassemble la gauche et le centre-gauche, et le bloc de droite la droite et le centre-droit. La gauche inclut les listes PCF, LFI, LO, NPA, etc., et le centre-gauche les listes PS, EELV, MRG, etc. On constate une baisse significative du centre-gauche entre 2004 et 2024 (principalement au bénéfice du centre). Voir tableau 1 pour le détail des listes.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0.758</cdr:x>
      <cdr:y>0.16709</cdr:y>
    </cdr:from>
    <cdr:to>
      <cdr:x>0.93443</cdr:x>
      <cdr:y>0.32962</cdr:y>
    </cdr:to>
    <cdr:sp macro="" textlink="">
      <cdr:nvSpPr>
        <cdr:cNvPr id="5" name="ZoneTexte 4"/>
        <cdr:cNvSpPr txBox="1"/>
      </cdr:nvSpPr>
      <cdr:spPr>
        <a:xfrm xmlns:a="http://schemas.openxmlformats.org/drawingml/2006/main">
          <a:off x="6914972" y="940037"/>
          <a:ext cx="1609458"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0.01167</cdr:x>
      <cdr:y>0.82562</cdr:y>
    </cdr:from>
    <cdr:to>
      <cdr:x>0.99595</cdr:x>
      <cdr:y>0.95302</cdr:y>
    </cdr:to>
    <cdr:sp macro="" textlink="">
      <cdr:nvSpPr>
        <cdr:cNvPr id="7" name="Rectangle 6"/>
        <cdr:cNvSpPr/>
      </cdr:nvSpPr>
      <cdr:spPr>
        <a:xfrm xmlns:a="http://schemas.openxmlformats.org/drawingml/2006/main">
          <a:off x="106516" y="4647380"/>
          <a:ext cx="8984125" cy="71713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Pour toutes les élections européennes de 1994 à 2024, les listes ont été classées en gauche, centre-gauche, centre, centre-droit et droite. Le bloc de gauche rassemble la gauche et le centre-gauche, et le bloc de droite la droite et le centre-droit. La droite inclut les listes FN, RN, DLF, Reconquête, etc., et le centre-droite les listes RPR, UDF, UMP, LR, etc. On constate une baisse significative du centre-droit entre 2004 et 2024 (principalement au bénéfice de la droite). Voir tableau 1 pour le détail des listes.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93161" cy="56043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0.02157</cdr:x>
      <cdr:y>0.84532</cdr:y>
    </cdr:from>
    <cdr:to>
      <cdr:x>0.9835</cdr:x>
      <cdr:y>0.97328</cdr:y>
    </cdr:to>
    <cdr:sp macro="" textlink="">
      <cdr:nvSpPr>
        <cdr:cNvPr id="6" name="Rectangle 5"/>
        <cdr:cNvSpPr/>
      </cdr:nvSpPr>
      <cdr:spPr>
        <a:xfrm xmlns:a="http://schemas.openxmlformats.org/drawingml/2006/main">
          <a:off x="198284" y="4737510"/>
          <a:ext cx="8843196" cy="71713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de1994, la liste LO a fait ses meilleurs scores dans les villages, la liste PCF dans les banlieues et la liste FN dans les banlieues et métropoles. Ce n'est qu'à partir des européennes de 2004 et surtout 2009-2014 que la liste FN réalisera ses meilleurs scores dans les bourgs et les villages. De façon générale, les clivages territoriaux observés en 1994 sont d'une ampleur relativement faible par rapport ceux constatés en 2019-2024.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93161" cy="56043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0.02335</cdr:x>
      <cdr:y>0.85263</cdr:y>
    </cdr:from>
    <cdr:to>
      <cdr:x>0.98528</cdr:x>
      <cdr:y>0.95468</cdr:y>
    </cdr:to>
    <cdr:sp macro="" textlink="">
      <cdr:nvSpPr>
        <cdr:cNvPr id="6" name="Rectangle 5"/>
        <cdr:cNvSpPr/>
      </cdr:nvSpPr>
      <cdr:spPr>
        <a:xfrm xmlns:a="http://schemas.openxmlformats.org/drawingml/2006/main">
          <a:off x="214670" y="4778477"/>
          <a:ext cx="8843196" cy="5719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de1999, les listes présentées par le FN et le MNR (Mouvenement national républicain, dissidence FN) réalisent toujours des meilleurs scores dans les banlieues et métropoles que dans les bourgs et les villages.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93161" cy="56043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0.01159</cdr:x>
      <cdr:y>0.84825</cdr:y>
    </cdr:from>
    <cdr:to>
      <cdr:x>0.98885</cdr:x>
      <cdr:y>0.95029</cdr:y>
    </cdr:to>
    <cdr:sp macro="" textlink="">
      <cdr:nvSpPr>
        <cdr:cNvPr id="6" name="Rectangle 5"/>
        <cdr:cNvSpPr/>
      </cdr:nvSpPr>
      <cdr:spPr>
        <a:xfrm xmlns:a="http://schemas.openxmlformats.org/drawingml/2006/main">
          <a:off x="106516" y="4753897"/>
          <a:ext cx="8984126" cy="5719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 2004, les listes présentées par le FN réalisent pour la première fois de meilleurs scores dans les villages et bourgs que dans les banlieues et métropoles. Il en va de même pour les listes divers droite (DVD, principalement issues du MPF, Mouvement pour la France). Le vote FN urbain a été principalement capté par les listes UMP.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93161" cy="56043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0.01087</cdr:x>
      <cdr:y>0.84825</cdr:y>
    </cdr:from>
    <cdr:to>
      <cdr:x>0.98814</cdr:x>
      <cdr:y>0.95029</cdr:y>
    </cdr:to>
    <cdr:sp macro="" textlink="">
      <cdr:nvSpPr>
        <cdr:cNvPr id="6" name="Rectangle 5"/>
        <cdr:cNvSpPr/>
      </cdr:nvSpPr>
      <cdr:spPr>
        <a:xfrm xmlns:a="http://schemas.openxmlformats.org/drawingml/2006/main">
          <a:off x="99961" y="4753897"/>
          <a:ext cx="8984126" cy="5719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 2009, les listes présentées par le FN deviennent de plus en plus centrées sur les villages et bourgs. Il en va de même pour les listes divers droite (DVD, principalement issues du MPF, Mouvement pour la France). A gauche, le vote LO est toujours principalement rural, alors que le vote EELV devient de plus en plus urbain.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93161" cy="56043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0.00909</cdr:x>
      <cdr:y>0.84971</cdr:y>
    </cdr:from>
    <cdr:to>
      <cdr:x>0.98635</cdr:x>
      <cdr:y>0.95175</cdr:y>
    </cdr:to>
    <cdr:sp macro="" textlink="">
      <cdr:nvSpPr>
        <cdr:cNvPr id="6" name="Rectangle 5"/>
        <cdr:cNvSpPr/>
      </cdr:nvSpPr>
      <cdr:spPr>
        <a:xfrm xmlns:a="http://schemas.openxmlformats.org/drawingml/2006/main">
          <a:off x="83574" y="4762090"/>
          <a:ext cx="8984126" cy="5719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 2014, on constate un approfondissement du clivage territorial, avec des listes PS et EELV (et à un degré moindre FG, Front de gauche) réalisant leurs meilleurs scores dans les banlieues et métropoles, et des listes FN  obtenant leurs meilleurs résults dans les villages et bourgs.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93161" cy="56043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0.02274</cdr:x>
      <cdr:y>0.85117</cdr:y>
    </cdr:from>
    <cdr:to>
      <cdr:x>1</cdr:x>
      <cdr:y>0.95322</cdr:y>
    </cdr:to>
    <cdr:sp macro="" textlink="">
      <cdr:nvSpPr>
        <cdr:cNvPr id="7" name="Rectangle 6"/>
        <cdr:cNvSpPr/>
      </cdr:nvSpPr>
      <cdr:spPr>
        <a:xfrm xmlns:a="http://schemas.openxmlformats.org/drawingml/2006/main">
          <a:off x="209035" y="4770284"/>
          <a:ext cx="8984126" cy="5719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 2019, toutes les listes de gauche réalisent leurs meilleurs scores dans les banlieues et métropoles (à l'exception toujours de LO), alors que les listes RN et DLF (Debout la France) obtiennent leurs meilleurs résults dans les villages et bourgs.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93161" cy="56043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0.02274</cdr:x>
      <cdr:y>0.84094</cdr:y>
    </cdr:from>
    <cdr:to>
      <cdr:x>1</cdr:x>
      <cdr:y>0.94298</cdr:y>
    </cdr:to>
    <cdr:sp macro="" textlink="">
      <cdr:nvSpPr>
        <cdr:cNvPr id="6" name="Rectangle 5"/>
        <cdr:cNvSpPr/>
      </cdr:nvSpPr>
      <cdr:spPr>
        <a:xfrm xmlns:a="http://schemas.openxmlformats.org/drawingml/2006/main">
          <a:off x="209035" y="4712929"/>
          <a:ext cx="8984126" cy="5719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 2024, on constate un nouvel approfondissement du clivage territorial, avec notamment un vote LFI, PS et EELV très concentré dans les banlieues et métropoles. On observe cependant un vote PCF qui devient pour la première fois orienté sur les villages et bourgs, à l'image du vote LO, en moins marqué.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93161" cy="56043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0.02274</cdr:x>
      <cdr:y>0.87749</cdr:y>
    </cdr:from>
    <cdr:to>
      <cdr:x>1</cdr:x>
      <cdr:y>0.97953</cdr:y>
    </cdr:to>
    <cdr:sp macro="" textlink="">
      <cdr:nvSpPr>
        <cdr:cNvPr id="7" name="Rectangle 6"/>
        <cdr:cNvSpPr/>
      </cdr:nvSpPr>
      <cdr:spPr>
        <a:xfrm xmlns:a="http://schemas.openxmlformats.org/drawingml/2006/main">
          <a:off x="209035" y="4917768"/>
          <a:ext cx="8984126" cy="5719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 2019, le système de tripartition met en jeu un bloc de gauche et un bloc du centre réalisant leurs meilleurs scores dans les banlieues et métropoles, et un bloc de droite obtenant leurs meilleurs résultats dans les bourgs et les villages.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93161" cy="56043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0.00924</cdr:x>
      <cdr:y>0.84495</cdr:y>
    </cdr:from>
    <cdr:to>
      <cdr:x>0.99676</cdr:x>
      <cdr:y>0.97501</cdr:y>
    </cdr:to>
    <cdr:sp macro="" textlink="">
      <cdr:nvSpPr>
        <cdr:cNvPr id="6" name="Rectangle 5"/>
        <cdr:cNvSpPr/>
      </cdr:nvSpPr>
      <cdr:spPr>
        <a:xfrm xmlns:a="http://schemas.openxmlformats.org/drawingml/2006/main">
          <a:off x="84221" y="4749800"/>
          <a:ext cx="8996879" cy="7311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participation aux élections européennes a toujours été relativement faible depuis leur introduction en 1979, en particulier par comparaison à la participation présidentielle. Lors des scrutins européenns de 2019 et 2024, la participation a toutefois dépassée celle observée lors des législatives de 2022, des muncipales de 2020 et des régionales de 2021.</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La participation indiquée ici est toujours celle observée en France métropolitaine au1</a:t>
          </a:r>
          <a:r>
            <a:rPr lang="fr-FR" sz="1100" b="0" i="0" baseline="30000">
              <a:solidFill>
                <a:schemeClr val="tx1"/>
              </a:solidFill>
              <a:effectLst/>
              <a:latin typeface="Arial Narrow" panose="020B0606020202030204" pitchFamily="34" charset="0"/>
              <a:ea typeface="+mn-ea"/>
              <a:cs typeface="Arial" panose="020B0604020202020204" pitchFamily="34" charset="0"/>
            </a:rPr>
            <a:t>e</a:t>
          </a:r>
          <a:r>
            <a:rPr lang="fr-FR" sz="1100" b="0" i="0" baseline="0">
              <a:solidFill>
                <a:schemeClr val="tx1"/>
              </a:solidFill>
              <a:effectLst/>
              <a:latin typeface="Arial Narrow" panose="020B0606020202030204" pitchFamily="34" charset="0"/>
              <a:ea typeface="+mn-ea"/>
              <a:cs typeface="Arial" panose="020B0604020202020204" pitchFamily="34" charset="0"/>
            </a:rPr>
            <a:t> tour.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endParaRPr lang="fr-FR" sz="1200">
            <a:effectLst/>
            <a:latin typeface="Arial Narrow" panose="020B0606020202030204" pitchFamily="34" charset="0"/>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0.01087</cdr:x>
      <cdr:y>0.87456</cdr:y>
    </cdr:from>
    <cdr:to>
      <cdr:x>0.98814</cdr:x>
      <cdr:y>0.97661</cdr:y>
    </cdr:to>
    <cdr:sp macro="" textlink="">
      <cdr:nvSpPr>
        <cdr:cNvPr id="6" name="Rectangle 5"/>
        <cdr:cNvSpPr/>
      </cdr:nvSpPr>
      <cdr:spPr>
        <a:xfrm xmlns:a="http://schemas.openxmlformats.org/drawingml/2006/main">
          <a:off x="99961" y="4901380"/>
          <a:ext cx="8984126" cy="5719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 2024, le vote pour le bloc de gauche est encore plus fortement centré sur les banlieues et métropoles que lors des scrutins précédents, alors que le vote pour le bloc du centre a évolué vers un profil territorial plus équilibré (reflétant des pertes de voix plus fortes dans les grandes agglomérations).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19419"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0.00764</cdr:x>
      <cdr:y>0.85881</cdr:y>
    </cdr:from>
    <cdr:to>
      <cdr:x>0.99192</cdr:x>
      <cdr:y>0.98399</cdr:y>
    </cdr:to>
    <cdr:sp macro="" textlink="">
      <cdr:nvSpPr>
        <cdr:cNvPr id="6" name="Rectangle 5"/>
        <cdr:cNvSpPr/>
      </cdr:nvSpPr>
      <cdr:spPr>
        <a:xfrm xmlns:a="http://schemas.openxmlformats.org/drawingml/2006/main">
          <a:off x="69745" y="4834193"/>
          <a:ext cx="8984126" cy="7046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 1994, le vote pour le bloc de gauche était quasiment le même dans les petites et les grandes agglomératons. En 2024, il est 1,4 fois plus élevé au sein des 50% de la population la plus urbaine (c'est-à-dire des 50% habitant dans les plus grandes agglomérations) qu'au sein des 50% la plus rurale, et 1,9 fois plus élevé au sein des 10% de la population la plus urbaine qu'au sein des 10% la plus rurale. En 30 ans la fracture territoriale s'est envolée.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0.01572</cdr:x>
      <cdr:y>0.87482</cdr:y>
    </cdr:from>
    <cdr:to>
      <cdr:x>0.97666</cdr:x>
      <cdr:y>1</cdr:y>
    </cdr:to>
    <cdr:sp macro="" textlink="">
      <cdr:nvSpPr>
        <cdr:cNvPr id="5" name="Rectangle 4"/>
        <cdr:cNvSpPr/>
      </cdr:nvSpPr>
      <cdr:spPr>
        <a:xfrm xmlns:a="http://schemas.openxmlformats.org/drawingml/2006/main">
          <a:off x="143487" y="4924323"/>
          <a:ext cx="8771094" cy="7046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fracture territoriale, telle que mesurée par le ratio entre le vote à gauche au sein des 50% de la population la plus urbaine et la plus rurale (au sens de la taille d'agglomération), s'est envolée entre 1994 et 2024, pour les élections européennes comme pour les scrutins législatifs, avec une accélération de la hausse lors du scrutin européen de 2024. Elle atteint désormais un niveau d'une ampleur inédite depuis l'entre-deux-guerres et à la fin du 19e siècle.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0.01724</cdr:x>
      <cdr:y>0.87482</cdr:y>
    </cdr:from>
    <cdr:to>
      <cdr:x>0.97818</cdr:x>
      <cdr:y>1</cdr:y>
    </cdr:to>
    <cdr:sp macro="" textlink="">
      <cdr:nvSpPr>
        <cdr:cNvPr id="6" name="Rectangle 5"/>
        <cdr:cNvSpPr/>
      </cdr:nvSpPr>
      <cdr:spPr>
        <a:xfrm xmlns:a="http://schemas.openxmlformats.org/drawingml/2006/main">
          <a:off x="157316" y="4924334"/>
          <a:ext cx="8771089" cy="7046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fracture territoriale, telle que mesurée par le ratio entre le vote à gauche au sein des 10% de la population la plus urbaine et la plus rurale (au sens de la taille d'agglomération), s'est envolée entre 1994 et 2024, pour les élections européennes comme pour les scrutins législatifs, avec une accélération de la hausse lors du scrutin européen de 2024. Elle atteint désormais un niveau d'une ampleur inédite depuis l'entre-deux-guerres et à la fin du 19e siècle.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0.00868</cdr:x>
      <cdr:y>0.82197</cdr:y>
    </cdr:from>
    <cdr:to>
      <cdr:x>0.99844</cdr:x>
      <cdr:y>0.98864</cdr:y>
    </cdr:to>
    <cdr:sp macro="" textlink="">
      <cdr:nvSpPr>
        <cdr:cNvPr id="6" name="Rectangle 5"/>
        <cdr:cNvSpPr/>
      </cdr:nvSpPr>
      <cdr:spPr>
        <a:xfrm xmlns:a="http://schemas.openxmlformats.org/drawingml/2006/main">
          <a:off x="79246" y="4636090"/>
          <a:ext cx="9036268" cy="94004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élections européennes de 1994, les votes pour les listes RPR-UDF et MPF augmentent fortement avec la richesse de la commune, notamment au sommet de la répartition. A l'inverse, les votes pour les listes PCF, LO et MRG (et à un degré moindre pour les listes FN, Verts et PS) déclinent avec la richesse</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49.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0.00898</cdr:x>
      <cdr:y>0.82242</cdr:y>
    </cdr:from>
    <cdr:to>
      <cdr:x>0.99874</cdr:x>
      <cdr:y>0.98938</cdr:y>
    </cdr:to>
    <cdr:sp macro="" textlink="">
      <cdr:nvSpPr>
        <cdr:cNvPr id="6" name="Rectangle 5"/>
        <cdr:cNvSpPr/>
      </cdr:nvSpPr>
      <cdr:spPr>
        <a:xfrm xmlns:a="http://schemas.openxmlformats.org/drawingml/2006/main">
          <a:off x="81935" y="4629354"/>
          <a:ext cx="9034146" cy="9398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élections européennes de 1999, les votes pour les listes RPR et UDF (et  à un degré moindre MPF) augmentent fortement avec la richesse de la commune, notamment au sommet de la répartition. A l'inverse, les votes pour les listes PCF et LO (et à un degré moindre PS) déclinent avec la richesse. La liste Verts a un profil légèrement croissant avec la richesse (sauf au niveau des 5% les plus riches), profil que l'on retrouve pour tous les scrutins européens, comme les élections législatives.</a:t>
          </a:r>
          <a:endParaRPr lang="fr-FR" sz="1200" b="0"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51.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0.00646</cdr:x>
      <cdr:y>0.82707</cdr:y>
    </cdr:from>
    <cdr:to>
      <cdr:x>0.99622</cdr:x>
      <cdr:y>0.99374</cdr:y>
    </cdr:to>
    <cdr:sp macro="" textlink="">
      <cdr:nvSpPr>
        <cdr:cNvPr id="7" name="Rectangle 6"/>
        <cdr:cNvSpPr/>
      </cdr:nvSpPr>
      <cdr:spPr>
        <a:xfrm xmlns:a="http://schemas.openxmlformats.org/drawingml/2006/main">
          <a:off x="58994" y="4655575"/>
          <a:ext cx="9034146" cy="9381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élections européennes de 2004, les votes pour les listes UMP, UDF et MPF et MPF augmentent fortement avec la richesse de la commune, notamment au sommet de la répartition, comme toutes les listes de droites à tous les scrutins européens et législatifs (à l'exception du vote FN-RN, qui est toujours légèrement décroissant). A l'inverse, les votes pour les listes PCF, LO et à un degré moindre PS déclinent systématiquement avec la richesse</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53.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0.01024</cdr:x>
      <cdr:y>0.82562</cdr:y>
    </cdr:from>
    <cdr:to>
      <cdr:x>1</cdr:x>
      <cdr:y>0.99234</cdr:y>
    </cdr:to>
    <cdr:sp macro="" textlink="">
      <cdr:nvSpPr>
        <cdr:cNvPr id="6" name="Rectangle 5"/>
        <cdr:cNvSpPr/>
      </cdr:nvSpPr>
      <cdr:spPr>
        <a:xfrm xmlns:a="http://schemas.openxmlformats.org/drawingml/2006/main">
          <a:off x="93383" y="4647381"/>
          <a:ext cx="9026036" cy="93845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élections européennes de 2009, les votes pour les listes UMP et Modem augmentent fortement avec la richesse de la commune, notamment au sommet de la répartition. A l'inverse, les votes pour les listes LO  et FG (Front de gauche, alliance PCF-PG) et à un degré moindre PS déclinent fortement avec la richesse. La liste EELV a un profil légèrement croissant avec la richesse (sauf au niveau des 5% les plus riches), comme la plupart des listes vertes lors des scrutins européens et législatifs.</a:t>
          </a:r>
          <a:endParaRPr lang="fr-FR" sz="1200" b="0"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55.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0.01024</cdr:x>
      <cdr:y>0.82853</cdr:y>
    </cdr:from>
    <cdr:to>
      <cdr:x>1</cdr:x>
      <cdr:y>0.99525</cdr:y>
    </cdr:to>
    <cdr:sp macro="" textlink="">
      <cdr:nvSpPr>
        <cdr:cNvPr id="5" name="Rectangle 4"/>
        <cdr:cNvSpPr/>
      </cdr:nvSpPr>
      <cdr:spPr>
        <a:xfrm xmlns:a="http://schemas.openxmlformats.org/drawingml/2006/main">
          <a:off x="93383" y="4663768"/>
          <a:ext cx="9026036" cy="93845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élections européennes de 2014, les votes pour les listes UMP, Modem et DLR (Debout la République) augmentent fortement avec la richesse de la commune, notamment au sommet de la répartition. A l'inverse, les votes pour les listes FG et LO déclinent très fortement avec la richesse. Les listes PS, EELV et FN ont un profil intermédiaire et légèrement décroissant avec la richesse au sommet de la répartition.</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57.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0.00197</cdr:x>
      <cdr:y>0.82678</cdr:y>
    </cdr:from>
    <cdr:to>
      <cdr:x>0.99173</cdr:x>
      <cdr:y>0.99374</cdr:y>
    </cdr:to>
    <cdr:sp macro="" textlink="">
      <cdr:nvSpPr>
        <cdr:cNvPr id="6" name="Rectangle 5"/>
        <cdr:cNvSpPr/>
      </cdr:nvSpPr>
      <cdr:spPr>
        <a:xfrm xmlns:a="http://schemas.openxmlformats.org/drawingml/2006/main">
          <a:off x="18010" y="4653935"/>
          <a:ext cx="9026036" cy="9398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élections européennes de 2019, les votes pour les listes LR et Renaissance augmentent très fortement avec la richesse de la commune, notamment au sommet de la répartition, encore plus fortement que pour les listes de droite des élections précédentes. A l'inverse, les votes pour les listes PCF et LFI déclinent très fortement avec la richesse. Les autres listes sont dans une position intermédiaire et déclinent faiblement avec la richesse au sommet de la répartition.</a:t>
          </a:r>
          <a:endParaRPr lang="fr-FR" sz="1200" b="0"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59.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0.00898</cdr:x>
      <cdr:y>0.86172</cdr:y>
    </cdr:from>
    <cdr:to>
      <cdr:x>0.99274</cdr:x>
      <cdr:y>0.98657</cdr:y>
    </cdr:to>
    <cdr:sp macro="" textlink="">
      <cdr:nvSpPr>
        <cdr:cNvPr id="5" name="Rectangle 4"/>
        <cdr:cNvSpPr/>
      </cdr:nvSpPr>
      <cdr:spPr>
        <a:xfrm xmlns:a="http://schemas.openxmlformats.org/drawingml/2006/main">
          <a:off x="81935" y="4850581"/>
          <a:ext cx="8979386" cy="70278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européennes de 1994, la participation était quasiment la même dans les communes riches et dans les communes pauvres (telles que définies par le revenu moyen par habitant). En 2024, la participation est 1,27 fois plus élevée au sein des 5% des communes les plus riches qu'au sein des 5% les plus pauvres. L'écart de participation entre communes riches et pauvres était encore plus élevé en 2009 et 2014, lorsque la participation moyenne était à son plus bas niveau.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6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0.00698</cdr:x>
      <cdr:y>0.85401</cdr:y>
    </cdr:from>
    <cdr:to>
      <cdr:x>0.9949</cdr:x>
      <cdr:y>0.98842</cdr:y>
    </cdr:to>
    <cdr:sp macro="" textlink="">
      <cdr:nvSpPr>
        <cdr:cNvPr id="6" name="Rectangle 5"/>
        <cdr:cNvSpPr/>
      </cdr:nvSpPr>
      <cdr:spPr>
        <a:xfrm xmlns:a="http://schemas.openxmlformats.org/drawingml/2006/main">
          <a:off x="63777" y="4809068"/>
          <a:ext cx="9026036" cy="7569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européennes de 2019, le bloc du centre a un profil de vote très fortement croissant avec la richesse, plus encore que les votes de droite du passé. Le bloc de gauche a un profil décroissant avec la richesse, surtout au sommet de la répartition. Le bloc de droite a un profil quasi-plat, compte tenu des profils contradictoires en son sein.  </a:t>
          </a: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61.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0.00624</cdr:x>
      <cdr:y>0.8507</cdr:y>
    </cdr:from>
    <cdr:to>
      <cdr:x>0.99416</cdr:x>
      <cdr:y>0.98647</cdr:y>
    </cdr:to>
    <cdr:sp macro="" textlink="">
      <cdr:nvSpPr>
        <cdr:cNvPr id="6" name="Rectangle 5"/>
        <cdr:cNvSpPr/>
      </cdr:nvSpPr>
      <cdr:spPr>
        <a:xfrm xmlns:a="http://schemas.openxmlformats.org/drawingml/2006/main">
          <a:off x="57004" y="4790441"/>
          <a:ext cx="9026036" cy="76454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européennes de 2019, le vote LR a un profil très fortement croissant avec la richesse, alors que les votes RN et DLF ont des profils légèrement décroissant. Au total, le bloc de droite (RN-LR-DLF) a un profil quasi-plat, reflétant les caractéristiques sociales opposées et les attentes politiques contradictoires de ses différentes composantes.</a:t>
          </a:r>
          <a:endParaRPr lang="fr-FR" sz="1200" b="0"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63.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0.00467</cdr:x>
      <cdr:y>0.82824</cdr:y>
    </cdr:from>
    <cdr:to>
      <cdr:x>0.99443</cdr:x>
      <cdr:y>0.99811</cdr:y>
    </cdr:to>
    <cdr:sp macro="" textlink="">
      <cdr:nvSpPr>
        <cdr:cNvPr id="6" name="Rectangle 5"/>
        <cdr:cNvSpPr/>
      </cdr:nvSpPr>
      <cdr:spPr>
        <a:xfrm xmlns:a="http://schemas.openxmlformats.org/drawingml/2006/main">
          <a:off x="42598" y="4662128"/>
          <a:ext cx="9026036" cy="9562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élections de 2024, les votes pour les listes LR, Reconquête et Ensemble augmentent fortement avec la richesse de la commune, notamment au sommet de la répartition. Les votes pour les listes PCF et LFI déclinent fortement avec la richesse, alors que les listes RN, PS et EELV ont des profils intermédiaires. La liste PS croît légèrement avec la richesse, sauf au niveau des 5% des communes les plus riches, à la façon du profil observé habituellement pour les listes Verts et EELV.</a:t>
          </a:r>
          <a:endParaRPr lang="fr-FR" sz="1200" b="0"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6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0.01125</cdr:x>
      <cdr:y>0.85401</cdr:y>
    </cdr:from>
    <cdr:to>
      <cdr:x>1</cdr:x>
      <cdr:y>0.98842</cdr:y>
    </cdr:to>
    <cdr:sp macro="" textlink="">
      <cdr:nvSpPr>
        <cdr:cNvPr id="7" name="Rectangle 6"/>
        <cdr:cNvSpPr/>
      </cdr:nvSpPr>
      <cdr:spPr>
        <a:xfrm xmlns:a="http://schemas.openxmlformats.org/drawingml/2006/main">
          <a:off x="102724" y="4809066"/>
          <a:ext cx="9026036" cy="7569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européennes de 2024, le bloc du centre a un profil de vote très fortement croissant avec la richesse. Le bloc de gauche a un profil décroissant avec la richesse, surtout au sommet de la répartition. Le bloc de droite a un profil quasi-plat, compte tenu des profils contradictoires en son sein, avec toutefois une progression significative au sommet de la répartition.  </a:t>
          </a:r>
        </a:p>
        <a:p xmlns:a="http://schemas.openxmlformats.org/drawingml/2006/main">
          <a:pPr rtl="0"/>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6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0.00835</cdr:x>
      <cdr:y>0.85701</cdr:y>
    </cdr:from>
    <cdr:to>
      <cdr:x>1</cdr:x>
      <cdr:y>0.99278</cdr:y>
    </cdr:to>
    <cdr:sp macro="" textlink="">
      <cdr:nvSpPr>
        <cdr:cNvPr id="7" name="Rectangle 6"/>
        <cdr:cNvSpPr/>
      </cdr:nvSpPr>
      <cdr:spPr>
        <a:xfrm xmlns:a="http://schemas.openxmlformats.org/drawingml/2006/main">
          <a:off x="76200" y="4826000"/>
          <a:ext cx="9052560" cy="76454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des européennes de 2024, on constate que le bloc de droite rassemble des profils électoraux très contradictoires, comme en 2019, avec toutefois un processus d'embourgeoisement entre les deux scrutins: les votes LR et Reconquête sont encore plus fortement croissants avec la richesse que les votes LR et DLF en 2019, et le vote RN est moins fortement décroissant.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Note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sont après contrôle pour la taille d'agglomération et de commune.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unehistoireduconflitpolitique.fr.</a:t>
          </a:r>
          <a:endParaRPr lang="fr-FR">
            <a:effectLst/>
            <a:latin typeface="Arial Narrow" panose="020B060602020203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0.01624</cdr:x>
      <cdr:y>0.82824</cdr:y>
    </cdr:from>
    <cdr:to>
      <cdr:x>0.98564</cdr:x>
      <cdr:y>0.98249</cdr:y>
    </cdr:to>
    <cdr:sp macro="" textlink="">
      <cdr:nvSpPr>
        <cdr:cNvPr id="4" name="Rectangle 3"/>
        <cdr:cNvSpPr/>
      </cdr:nvSpPr>
      <cdr:spPr>
        <a:xfrm xmlns:a="http://schemas.openxmlformats.org/drawingml/2006/main">
          <a:off x="148227" y="4662129"/>
          <a:ext cx="8848289" cy="86829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Des élections européennes de 1994 à celles de 2024, la participation a toujours été plus forte dans les villages et plus réduite dans les bourgs, les métropoles et les banlieues.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Note </a:t>
          </a:r>
          <a:r>
            <a:rPr lang="fr-FR" sz="1100" b="0" i="0" baseline="0">
              <a:solidFill>
                <a:schemeClr val="tx1"/>
              </a:solidFill>
              <a:effectLst/>
              <a:latin typeface="Arial Narrow" panose="020B0606020202030204" pitchFamily="34" charset="0"/>
              <a:ea typeface="+mn-ea"/>
              <a:cs typeface="Arial" panose="020B0604020202020204" pitchFamily="34" charset="0"/>
            </a:rPr>
            <a:t>: les villages sont définis ici comme les communes des agglomérations de moins de 2000h (19% de la population en 2024), les bourgs comme les communes de agglomérations de 2000h à 100 000h (34%), les métropoles comme les communes principlaes des agglomérations de plus de 100 000h (16%) et les banlieues comme les communes secondaires des agglomérations de plus de 100000h (31%).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unehistoireduconflitpolitique.fr </a:t>
          </a:r>
        </a:p>
        <a:p xmlns:a="http://schemas.openxmlformats.org/drawingml/2006/main">
          <a:pPr rtl="0"/>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27613" cy="56289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pplications/Microsoft%20Office%202011/Microsoft%20Excel.app/Contents/MacOS/TC_A7_EAG2011.xls"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FG_567.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F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pplications/Microsoft%20Office%202011/Microsoft%20Excel.app/Contents/MacOS/Q_ISC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Applications/Microsoft%20Office%202011/Microsoft%20Excel.app/Contents/MacOS/F13_ALL.XL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E9C3NAG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E9C3N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EduExpen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IRPISAPlus_Chap5_ChartCorrect.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F5_W.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WINDOWS\TEMP\C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calcul_B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ntries"/>
      <sheetName val="INFO sheet"/>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efreshError="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1">
        <row r="1">
          <cell r="A1" t="str">
            <v>OECD</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ula"/>
      <sheetName val="ChtA4.2"/>
      <sheetName val="charta4.2(data)"/>
      <sheetName val="chtA4.1"/>
      <sheetName val="readme"/>
      <sheetName val="A4_12000"/>
      <sheetName val="Dbase_proj"/>
      <sheetName val="Sheet8"/>
      <sheetName val="Pivot_proj"/>
      <sheetName val="table(1998=100)"/>
      <sheetName val="Sheet1"/>
    </sheetNames>
    <sheetDataSet>
      <sheetData sheetId="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 sheetId="1" refreshError="1"/>
      <sheetData sheetId="2"/>
      <sheetData sheetId="3"/>
      <sheetData sheetId="4"/>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 3.7.a"/>
      <sheetName val="OLDModel"/>
      <sheetName val="ExpStudWEI_Tab9"/>
      <sheetName val="Calc CumulExp"/>
      <sheetName val="WDI-WordBank"/>
      <sheetName val="ANA"/>
      <sheetName val="Mean"/>
      <sheetName val="Fig 3.7.a"/>
      <sheetName val="Graph 3.7.b"/>
      <sheetName val="Tab"/>
      <sheetName val="Figs3.7 R"/>
      <sheetName val="Figs 3.7 M"/>
      <sheetName val="Figs 3.7 S"/>
      <sheetName val="Graph 3_7_a"/>
    </sheetNames>
    <sheetDataSet>
      <sheetData sheetId="0"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b"/>
      <sheetName val="Fig 5.12"/>
      <sheetName val="DataFig 5.12"/>
      <sheetName val="Plan1"/>
      <sheetName val="Plan3"/>
      <sheetName val="Plan2"/>
      <sheetName val="Data5_11a"/>
    </sheetNames>
    <sheetDataSet>
      <sheetData sheetId="0"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2"/>
      <sheetName val="C4.1"/>
      <sheetName val="C4.2"/>
      <sheetName val="C4.3"/>
      <sheetName val="Feuil1"/>
      <sheetName val="C4.4"/>
      <sheetName val="C4.5"/>
    </sheetNames>
    <sheetDataSet>
      <sheetData sheetId="0" refreshError="1"/>
      <sheetData sheetId="1" refreshError="1"/>
      <sheetData sheetId="2" refreshError="1"/>
      <sheetData sheetId="3" refreshError="1"/>
      <sheetData sheetId="4" refreshError="1"/>
      <sheetData sheetId="5" refreshError="1">
        <row r="6">
          <cell r="A6" t="str">
            <v>Australia</v>
          </cell>
          <cell r="B6" t="str">
            <v>m</v>
          </cell>
          <cell r="C6" t="str">
            <v>m</v>
          </cell>
          <cell r="D6" t="str">
            <v>m</v>
          </cell>
          <cell r="E6">
            <v>1302.73047862469</v>
          </cell>
          <cell r="F6">
            <v>1520.65202079901</v>
          </cell>
          <cell r="G6">
            <v>1011.98799260109</v>
          </cell>
        </row>
        <row r="7">
          <cell r="A7" t="str">
            <v>Austria</v>
          </cell>
          <cell r="B7" t="str">
            <v>m</v>
          </cell>
          <cell r="C7" t="str">
            <v>m</v>
          </cell>
          <cell r="D7" t="str">
            <v>m</v>
          </cell>
          <cell r="E7">
            <v>392.490010885027</v>
          </cell>
          <cell r="F7">
            <v>566.43103135762203</v>
          </cell>
          <cell r="G7">
            <v>188.88582324199601</v>
          </cell>
        </row>
        <row r="8">
          <cell r="A8" t="str">
            <v>Canada</v>
          </cell>
          <cell r="B8">
            <v>418.4</v>
          </cell>
          <cell r="C8">
            <v>633.70000000000005</v>
          </cell>
          <cell r="D8">
            <v>167.8</v>
          </cell>
          <cell r="E8">
            <v>821.52654510246896</v>
          </cell>
          <cell r="F8">
            <v>984.89924496224796</v>
          </cell>
          <cell r="G8">
            <v>631.37985217948005</v>
          </cell>
        </row>
        <row r="9">
          <cell r="A9" t="str">
            <v>Czech Republic</v>
          </cell>
          <cell r="B9">
            <v>126.80462334708101</v>
          </cell>
          <cell r="C9">
            <v>158.01542280823401</v>
          </cell>
          <cell r="D9">
            <v>81.813518992041196</v>
          </cell>
          <cell r="E9">
            <v>543.70093888868905</v>
          </cell>
          <cell r="F9">
            <v>689.36099614444799</v>
          </cell>
          <cell r="G9">
            <v>333.72852711142002</v>
          </cell>
        </row>
        <row r="10">
          <cell r="A10" t="str">
            <v>Denmark</v>
          </cell>
          <cell r="B10">
            <v>458.78969994027301</v>
          </cell>
          <cell r="C10">
            <v>634.13192162225903</v>
          </cell>
          <cell r="D10">
            <v>259.33696102366599</v>
          </cell>
          <cell r="E10" t="str">
            <v>m</v>
          </cell>
          <cell r="F10" t="str">
            <v>m</v>
          </cell>
          <cell r="G10" t="str">
            <v>m</v>
          </cell>
        </row>
        <row r="11">
          <cell r="A11" t="str">
            <v>Finland</v>
          </cell>
          <cell r="B11">
            <v>422.45614035087698</v>
          </cell>
          <cell r="C11">
            <v>630.35143769968101</v>
          </cell>
          <cell r="D11">
            <v>169.26070038910501</v>
          </cell>
          <cell r="E11">
            <v>1362.98245614035</v>
          </cell>
          <cell r="F11">
            <v>1839.9361022364201</v>
          </cell>
          <cell r="G11">
            <v>782.10116731517496</v>
          </cell>
        </row>
        <row r="12">
          <cell r="A12" t="str">
            <v>France</v>
          </cell>
          <cell r="B12">
            <v>628.20000000000005</v>
          </cell>
          <cell r="C12">
            <v>942.9</v>
          </cell>
          <cell r="D12">
            <v>254.7</v>
          </cell>
          <cell r="E12">
            <v>1434.3934594048701</v>
          </cell>
          <cell r="F12">
            <v>1672.4449996176099</v>
          </cell>
          <cell r="G12">
            <v>1151.9358741681799</v>
          </cell>
        </row>
        <row r="13">
          <cell r="A13" t="str">
            <v>Germany</v>
          </cell>
          <cell r="B13">
            <v>141.24769931221499</v>
          </cell>
          <cell r="C13">
            <v>231.041595049845</v>
          </cell>
          <cell r="D13">
            <v>25.2830188679245</v>
          </cell>
          <cell r="E13">
            <v>693.49995156446801</v>
          </cell>
          <cell r="F13">
            <v>940.90752836026104</v>
          </cell>
          <cell r="G13">
            <v>373.98446170921198</v>
          </cell>
        </row>
        <row r="14">
          <cell r="A14" t="str">
            <v>Hungary</v>
          </cell>
          <cell r="B14" t="str">
            <v>n</v>
          </cell>
          <cell r="C14" t="str">
            <v>n</v>
          </cell>
          <cell r="D14" t="str">
            <v>n</v>
          </cell>
          <cell r="E14">
            <v>775.174524242134</v>
          </cell>
          <cell r="F14">
            <v>976.67731629392995</v>
          </cell>
          <cell r="G14">
            <v>474.62473195139398</v>
          </cell>
        </row>
        <row r="15">
          <cell r="A15" t="str">
            <v>Iceland</v>
          </cell>
          <cell r="B15">
            <v>204.290091930541</v>
          </cell>
          <cell r="C15">
            <v>311.97891452853497</v>
          </cell>
          <cell r="D15">
            <v>76.559908128110294</v>
          </cell>
          <cell r="E15">
            <v>545.74638844301796</v>
          </cell>
          <cell r="F15">
            <v>580.92625463934201</v>
          </cell>
          <cell r="G15">
            <v>504.01939517672599</v>
          </cell>
        </row>
        <row r="16">
          <cell r="A16" t="str">
            <v>Ireland</v>
          </cell>
          <cell r="B16">
            <v>1448.3718937446399</v>
          </cell>
          <cell r="C16">
            <v>1827.6397515527899</v>
          </cell>
          <cell r="D16">
            <v>981.35755258126198</v>
          </cell>
          <cell r="E16">
            <v>1340.40274207369</v>
          </cell>
          <cell r="F16">
            <v>1494.17701863354</v>
          </cell>
          <cell r="G16">
            <v>1151.05162523901</v>
          </cell>
        </row>
        <row r="17">
          <cell r="A17" t="str">
            <v>Japan</v>
          </cell>
          <cell r="B17">
            <v>565.97306397306397</v>
          </cell>
          <cell r="C17">
            <v>784.97237569060803</v>
          </cell>
          <cell r="D17">
            <v>224.258620689655</v>
          </cell>
          <cell r="E17">
            <v>1048.2962962962999</v>
          </cell>
          <cell r="F17">
            <v>1529.64640883978</v>
          </cell>
          <cell r="G17">
            <v>297.22413793103402</v>
          </cell>
        </row>
        <row r="18">
          <cell r="A18" t="str">
            <v>Mexico</v>
          </cell>
          <cell r="B18" t="str">
            <v>x</v>
          </cell>
          <cell r="C18" t="str">
            <v>x</v>
          </cell>
          <cell r="D18" t="str">
            <v>x</v>
          </cell>
          <cell r="E18" t="str">
            <v>x</v>
          </cell>
          <cell r="F18" t="str">
            <v>x</v>
          </cell>
          <cell r="G18" t="str">
            <v>x</v>
          </cell>
        </row>
        <row r="19">
          <cell r="A19" t="str">
            <v>Netherlands</v>
          </cell>
          <cell r="B19">
            <v>11.7290707405033</v>
          </cell>
          <cell r="C19">
            <v>19.611964752091499</v>
          </cell>
          <cell r="D19">
            <v>2.0281551746391702</v>
          </cell>
          <cell r="E19">
            <v>569.04177697240198</v>
          </cell>
          <cell r="F19">
            <v>853.03806350273396</v>
          </cell>
          <cell r="G19">
            <v>219.54779765468999</v>
          </cell>
        </row>
        <row r="20">
          <cell r="A20" t="str">
            <v>New Zealand</v>
          </cell>
          <cell r="B20">
            <v>106.85704415913401</v>
          </cell>
          <cell r="C20">
            <v>112.310110005238</v>
          </cell>
          <cell r="D20">
            <v>100.204498977505</v>
          </cell>
          <cell r="E20">
            <v>1387.5295065922001</v>
          </cell>
          <cell r="F20">
            <v>1485.1754845468799</v>
          </cell>
          <cell r="G20">
            <v>1268.40490797546</v>
          </cell>
        </row>
        <row r="21">
          <cell r="A21" t="str">
            <v>Norway</v>
          </cell>
          <cell r="B21">
            <v>161.42131979695401</v>
          </cell>
          <cell r="C21">
            <v>237.617554858934</v>
          </cell>
          <cell r="D21">
            <v>72.058823529411796</v>
          </cell>
          <cell r="E21">
            <v>597.12351945854505</v>
          </cell>
          <cell r="F21">
            <v>809.71786833855799</v>
          </cell>
          <cell r="G21">
            <v>347.79411764705901</v>
          </cell>
        </row>
        <row r="22">
          <cell r="A22" t="str">
            <v>Poland</v>
          </cell>
          <cell r="B22" t="str">
            <v>a</v>
          </cell>
          <cell r="C22" t="str">
            <v>a</v>
          </cell>
          <cell r="D22" t="str">
            <v>a</v>
          </cell>
          <cell r="E22">
            <v>742.85380663241494</v>
          </cell>
          <cell r="F22" t="str">
            <v>m</v>
          </cell>
          <cell r="G22" t="str">
            <v>m</v>
          </cell>
        </row>
        <row r="23">
          <cell r="A23" t="str">
            <v>Spain</v>
          </cell>
          <cell r="B23">
            <v>281.79156003083102</v>
          </cell>
          <cell r="C23">
            <v>399.29620671782698</v>
          </cell>
          <cell r="D23">
            <v>130.918026044128</v>
          </cell>
          <cell r="E23">
            <v>1076.9000000000001</v>
          </cell>
          <cell r="F23">
            <v>1238.7</v>
          </cell>
          <cell r="G23">
            <v>869</v>
          </cell>
        </row>
        <row r="24">
          <cell r="A24" t="str">
            <v>Sweden</v>
          </cell>
          <cell r="B24">
            <v>126.75923302163</v>
          </cell>
          <cell r="C24">
            <v>176.763190620004</v>
          </cell>
          <cell r="D24">
            <v>69.987898346107301</v>
          </cell>
          <cell r="E24">
            <v>902.42750543118905</v>
          </cell>
          <cell r="F24">
            <v>1204.47681648605</v>
          </cell>
          <cell r="G24">
            <v>559.49979830576797</v>
          </cell>
        </row>
        <row r="25">
          <cell r="A25" t="str">
            <v>Turkey</v>
          </cell>
          <cell r="B25">
            <v>408.66532035983101</v>
          </cell>
          <cell r="C25">
            <v>429.98462327011799</v>
          </cell>
          <cell r="D25">
            <v>354.82200647249198</v>
          </cell>
          <cell r="E25">
            <v>569.35928033780101</v>
          </cell>
          <cell r="F25">
            <v>527.75499743721196</v>
          </cell>
          <cell r="G25">
            <v>674.43365695792897</v>
          </cell>
        </row>
      </sheetData>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O11"/>
  <sheetViews>
    <sheetView tabSelected="1" workbookViewId="0"/>
  </sheetViews>
  <sheetFormatPr baseColWidth="10" defaultRowHeight="15" x14ac:dyDescent="0.25"/>
  <sheetData>
    <row r="1" spans="1:15" ht="15.6" x14ac:dyDescent="0.3">
      <c r="A1" s="7" t="s">
        <v>169</v>
      </c>
    </row>
    <row r="2" spans="1:15" x14ac:dyDescent="0.25">
      <c r="A2" s="8" t="s">
        <v>171</v>
      </c>
    </row>
    <row r="3" spans="1:15" x14ac:dyDescent="0.25">
      <c r="A3" s="8" t="s">
        <v>170</v>
      </c>
    </row>
    <row r="4" spans="1:15" ht="15.6" x14ac:dyDescent="0.3">
      <c r="A4" s="7"/>
    </row>
    <row r="5" spans="1:15" ht="15" customHeight="1" x14ac:dyDescent="0.25">
      <c r="A5" s="119" t="s">
        <v>172</v>
      </c>
      <c r="B5" s="119"/>
      <c r="C5" s="119"/>
      <c r="D5" s="119"/>
      <c r="E5" s="119"/>
      <c r="F5" s="119"/>
      <c r="G5" s="119"/>
      <c r="H5" s="119"/>
      <c r="I5" s="114"/>
      <c r="J5" s="114"/>
      <c r="K5" s="114"/>
      <c r="L5" s="114"/>
      <c r="M5" s="114"/>
      <c r="N5" s="114"/>
      <c r="O5" s="114"/>
    </row>
    <row r="6" spans="1:15" x14ac:dyDescent="0.25">
      <c r="A6" s="119"/>
      <c r="B6" s="119"/>
      <c r="C6" s="119"/>
      <c r="D6" s="119"/>
      <c r="E6" s="119"/>
      <c r="F6" s="119"/>
      <c r="G6" s="119"/>
      <c r="H6" s="119"/>
      <c r="I6" s="114"/>
      <c r="J6" s="114"/>
      <c r="K6" s="114"/>
      <c r="L6" s="114"/>
      <c r="M6" s="114"/>
      <c r="N6" s="114"/>
      <c r="O6" s="114"/>
    </row>
    <row r="7" spans="1:15" ht="15.6" x14ac:dyDescent="0.3">
      <c r="A7" s="103" t="s">
        <v>178</v>
      </c>
      <c r="B7" s="113"/>
      <c r="C7" s="113"/>
      <c r="D7" s="113"/>
      <c r="E7" s="113"/>
      <c r="F7" s="113"/>
      <c r="G7" s="113"/>
      <c r="H7" s="113"/>
      <c r="I7" s="113"/>
      <c r="J7" s="113"/>
      <c r="K7" s="113"/>
      <c r="L7" s="113"/>
      <c r="M7" s="113"/>
      <c r="N7" s="113"/>
      <c r="O7" s="113"/>
    </row>
    <row r="8" spans="1:15" ht="15.6" x14ac:dyDescent="0.3">
      <c r="A8" s="103" t="s">
        <v>176</v>
      </c>
      <c r="B8" s="113"/>
      <c r="C8" s="113"/>
      <c r="D8" s="113"/>
      <c r="E8" s="113"/>
      <c r="F8" s="113"/>
      <c r="G8" s="113"/>
      <c r="H8" s="113"/>
      <c r="I8" s="113"/>
      <c r="J8" s="113"/>
      <c r="K8" s="113"/>
      <c r="L8" s="113"/>
      <c r="M8" s="113"/>
      <c r="N8" s="113"/>
      <c r="O8" s="113"/>
    </row>
    <row r="9" spans="1:15" ht="15.6" x14ac:dyDescent="0.3">
      <c r="A9" s="103" t="s">
        <v>177</v>
      </c>
      <c r="B9" s="113"/>
      <c r="C9" s="113"/>
      <c r="D9" s="113"/>
      <c r="E9" s="113"/>
      <c r="F9" s="113"/>
      <c r="G9" s="113"/>
      <c r="H9" s="113"/>
      <c r="I9" s="113"/>
      <c r="J9" s="113"/>
      <c r="K9" s="113"/>
      <c r="L9" s="113"/>
      <c r="M9" s="113"/>
      <c r="N9" s="113"/>
      <c r="O9" s="113"/>
    </row>
    <row r="10" spans="1:15" ht="15.6" x14ac:dyDescent="0.3">
      <c r="A10" s="103" t="s">
        <v>188</v>
      </c>
      <c r="B10" s="113"/>
      <c r="C10" s="113"/>
      <c r="D10" s="113"/>
      <c r="E10" s="113"/>
      <c r="F10" s="113"/>
      <c r="G10" s="113"/>
      <c r="H10" s="113"/>
      <c r="I10" s="113"/>
      <c r="J10" s="113"/>
      <c r="K10" s="113"/>
      <c r="L10" s="113"/>
      <c r="M10" s="113"/>
      <c r="N10" s="113"/>
      <c r="O10" s="113"/>
    </row>
    <row r="11" spans="1:15" ht="15.6" x14ac:dyDescent="0.3">
      <c r="A11" s="103" t="s">
        <v>189</v>
      </c>
    </row>
  </sheetData>
  <mergeCells count="1">
    <mergeCell ref="A5:H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FF0000"/>
    <pageSetUpPr fitToPage="1"/>
  </sheetPr>
  <dimension ref="A1:AC45"/>
  <sheetViews>
    <sheetView topLeftCell="A24" workbookViewId="0">
      <selection activeCell="A2" sqref="A2:AC33"/>
    </sheetView>
  </sheetViews>
  <sheetFormatPr baseColWidth="10" defaultRowHeight="15" x14ac:dyDescent="0.25"/>
  <cols>
    <col min="1" max="1" width="11.453125" customWidth="1"/>
    <col min="2" max="5" width="4.6328125" customWidth="1"/>
    <col min="6" max="9" width="5.1796875" customWidth="1"/>
    <col min="10" max="14" width="5.6328125" customWidth="1"/>
    <col min="15" max="18" width="4.6328125" customWidth="1"/>
    <col min="19" max="19" width="5.1796875" customWidth="1"/>
    <col min="20" max="24" width="4.6328125" customWidth="1"/>
    <col min="25" max="25" width="5.1796875" customWidth="1"/>
    <col min="26" max="29" width="4.6328125" customWidth="1"/>
  </cols>
  <sheetData>
    <row r="1" spans="1:29" ht="15.6" thickBot="1" x14ac:dyDescent="0.3"/>
    <row r="2" spans="1:29" ht="42" customHeight="1" thickTop="1" thickBot="1" x14ac:dyDescent="0.3">
      <c r="A2" s="129" t="s">
        <v>175</v>
      </c>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1"/>
    </row>
    <row r="3" spans="1:29" ht="16.2" thickTop="1" thickBot="1" x14ac:dyDescent="0.3"/>
    <row r="4" spans="1:29" ht="30.6" customHeight="1" thickTop="1" x14ac:dyDescent="0.25">
      <c r="A4" s="126" t="s">
        <v>18</v>
      </c>
      <c r="B4" s="4" t="s">
        <v>6</v>
      </c>
      <c r="C4" s="4" t="s">
        <v>25</v>
      </c>
      <c r="D4" s="4" t="s">
        <v>3</v>
      </c>
      <c r="E4" s="4" t="s">
        <v>2</v>
      </c>
      <c r="F4" s="4" t="s">
        <v>26</v>
      </c>
      <c r="G4" s="4" t="s">
        <v>7</v>
      </c>
      <c r="H4" s="4" t="s">
        <v>27</v>
      </c>
      <c r="I4" s="4" t="s">
        <v>28</v>
      </c>
      <c r="J4" s="4" t="s">
        <v>174</v>
      </c>
      <c r="K4" s="4" t="s">
        <v>4</v>
      </c>
      <c r="L4" s="4" t="s">
        <v>0</v>
      </c>
      <c r="M4" s="4" t="s">
        <v>5</v>
      </c>
      <c r="N4" s="4" t="s">
        <v>1</v>
      </c>
      <c r="O4" s="4"/>
      <c r="P4" s="4"/>
      <c r="Q4" s="4"/>
      <c r="R4" s="4"/>
      <c r="S4" s="4" t="s">
        <v>13</v>
      </c>
      <c r="T4" s="15" t="s">
        <v>8</v>
      </c>
      <c r="U4" s="15" t="s">
        <v>9</v>
      </c>
      <c r="V4" s="15" t="s">
        <v>10</v>
      </c>
      <c r="W4" s="15" t="s">
        <v>11</v>
      </c>
      <c r="X4" s="15" t="s">
        <v>12</v>
      </c>
      <c r="Y4" s="21" t="s">
        <v>16</v>
      </c>
      <c r="Z4" s="23" t="s">
        <v>10</v>
      </c>
      <c r="AA4" s="19" t="s">
        <v>17</v>
      </c>
      <c r="AB4" s="18" t="s">
        <v>14</v>
      </c>
      <c r="AC4" s="19" t="s">
        <v>15</v>
      </c>
    </row>
    <row r="5" spans="1:29" ht="18" customHeight="1" x14ac:dyDescent="0.25">
      <c r="A5" s="127"/>
      <c r="B5" s="3">
        <v>1</v>
      </c>
      <c r="C5" s="3">
        <v>1</v>
      </c>
      <c r="D5" s="3">
        <v>1</v>
      </c>
      <c r="E5" s="3">
        <v>2</v>
      </c>
      <c r="F5" s="3">
        <v>2</v>
      </c>
      <c r="G5" s="3">
        <v>2</v>
      </c>
      <c r="H5" s="3">
        <v>2</v>
      </c>
      <c r="I5" s="3">
        <v>3</v>
      </c>
      <c r="J5" s="3">
        <v>4</v>
      </c>
      <c r="K5" s="3">
        <v>4</v>
      </c>
      <c r="L5" s="3">
        <v>5</v>
      </c>
      <c r="M5" s="3">
        <v>0</v>
      </c>
      <c r="N5" s="3">
        <v>0</v>
      </c>
      <c r="O5" s="3"/>
      <c r="P5" s="3"/>
      <c r="Q5" s="3"/>
      <c r="R5" s="3"/>
      <c r="S5" s="3"/>
      <c r="T5" s="16">
        <v>1</v>
      </c>
      <c r="U5" s="16">
        <v>2</v>
      </c>
      <c r="V5" s="16">
        <v>3</v>
      </c>
      <c r="W5" s="16">
        <v>4</v>
      </c>
      <c r="X5" s="16">
        <v>5</v>
      </c>
      <c r="Y5" s="22"/>
      <c r="Z5" s="5"/>
      <c r="AA5" s="24"/>
      <c r="AB5" s="11"/>
      <c r="AC5" s="12"/>
    </row>
    <row r="6" spans="1:29" ht="18" customHeight="1" thickBot="1" x14ac:dyDescent="0.3">
      <c r="A6" s="128"/>
      <c r="B6" s="9">
        <v>2.2837422788143158E-2</v>
      </c>
      <c r="C6" s="9">
        <v>4.4187544845044613E-3</v>
      </c>
      <c r="D6" s="9">
        <v>6.9416619837284088E-2</v>
      </c>
      <c r="E6" s="9">
        <v>0.14468029141426086</v>
      </c>
      <c r="F6" s="9">
        <v>2.5481844320893288E-2</v>
      </c>
      <c r="G6" s="9">
        <v>0.12044253945350647</v>
      </c>
      <c r="H6" s="9">
        <v>2.9603742063045502E-2</v>
      </c>
      <c r="I6" s="9">
        <v>2.0226690918207169E-2</v>
      </c>
      <c r="J6" s="9">
        <v>0.25365260243415833</v>
      </c>
      <c r="K6" s="9">
        <v>0.12433350086212158</v>
      </c>
      <c r="L6" s="9">
        <v>0.10609112679958344</v>
      </c>
      <c r="M6" s="9">
        <v>4.0047764778137207E-2</v>
      </c>
      <c r="N6" s="9">
        <v>3.8767118006944656E-2</v>
      </c>
      <c r="O6" s="9"/>
      <c r="P6" s="9"/>
      <c r="Q6" s="9"/>
      <c r="R6" s="2"/>
      <c r="S6" s="20">
        <f>SUM(B6:R6)</f>
        <v>1.0000000181607902</v>
      </c>
      <c r="T6" s="17">
        <f>B6+C6+D6+0.2*M6+0.2*N6</f>
        <v>0.11243577366694808</v>
      </c>
      <c r="U6" s="17">
        <f>E6+F6+G6+H6+0.2*M6+0.2*N6</f>
        <v>0.33597139380872248</v>
      </c>
      <c r="V6" s="17">
        <f>I6+0.2*M6+0.2*N6</f>
        <v>3.5989667475223544E-2</v>
      </c>
      <c r="W6" s="17">
        <f>J6+K6+0.2*M6+0.2*N6</f>
        <v>0.39374907985329627</v>
      </c>
      <c r="X6" s="17">
        <f>L6+0.2*M6+0.2*N6</f>
        <v>0.12185410335659981</v>
      </c>
      <c r="Y6" s="17">
        <f>T6+U6</f>
        <v>0.44840716747567055</v>
      </c>
      <c r="Z6" s="25">
        <f>V6</f>
        <v>3.5989667475223544E-2</v>
      </c>
      <c r="AA6" s="26">
        <f>W6+X6</f>
        <v>0.51560318320989607</v>
      </c>
      <c r="AB6" s="13">
        <f>T6+U6+0.5*V6</f>
        <v>0.46640200121328235</v>
      </c>
      <c r="AC6" s="14">
        <f>1-AB6</f>
        <v>0.53359799878671765</v>
      </c>
    </row>
    <row r="7" spans="1:29" ht="18" customHeight="1" thickTop="1" thickBot="1" x14ac:dyDescent="0.3">
      <c r="A7" s="5"/>
      <c r="B7" s="45"/>
      <c r="C7" s="5"/>
      <c r="D7" s="5"/>
      <c r="E7" s="5"/>
      <c r="F7" s="5"/>
      <c r="G7" s="5"/>
      <c r="H7" s="5"/>
      <c r="I7" s="5"/>
      <c r="J7" s="5"/>
      <c r="K7" s="5"/>
      <c r="L7" s="5"/>
      <c r="M7" s="5"/>
      <c r="N7" s="5"/>
      <c r="O7" s="5"/>
      <c r="P7" s="5"/>
      <c r="Q7" s="5"/>
      <c r="R7" s="5"/>
      <c r="S7" s="5"/>
      <c r="T7" s="5"/>
      <c r="U7" s="5"/>
      <c r="V7" s="5"/>
      <c r="W7" s="5"/>
      <c r="X7" s="5"/>
      <c r="Y7" s="5"/>
      <c r="Z7" s="5"/>
      <c r="AA7" s="5"/>
    </row>
    <row r="8" spans="1:29" ht="28.8" customHeight="1" thickTop="1" x14ac:dyDescent="0.25">
      <c r="A8" s="126" t="s">
        <v>19</v>
      </c>
      <c r="B8" s="4" t="s">
        <v>6</v>
      </c>
      <c r="C8" s="4" t="s">
        <v>3</v>
      </c>
      <c r="D8" s="4" t="s">
        <v>2</v>
      </c>
      <c r="E8" s="4" t="s">
        <v>27</v>
      </c>
      <c r="F8" s="4" t="s">
        <v>32</v>
      </c>
      <c r="G8" s="4" t="s">
        <v>33</v>
      </c>
      <c r="H8" s="4" t="s">
        <v>34</v>
      </c>
      <c r="I8" s="4" t="s">
        <v>35</v>
      </c>
      <c r="J8" s="4" t="s">
        <v>0</v>
      </c>
      <c r="K8" s="4" t="s">
        <v>36</v>
      </c>
      <c r="L8" s="4" t="s">
        <v>5</v>
      </c>
      <c r="M8" s="4" t="s">
        <v>1</v>
      </c>
      <c r="N8" s="4"/>
      <c r="O8" s="4"/>
      <c r="P8" s="4"/>
      <c r="Q8" s="4"/>
      <c r="R8" s="4"/>
      <c r="S8" s="4" t="s">
        <v>13</v>
      </c>
      <c r="T8" s="43" t="s">
        <v>8</v>
      </c>
      <c r="U8" s="43" t="s">
        <v>9</v>
      </c>
      <c r="V8" s="43" t="s">
        <v>10</v>
      </c>
      <c r="W8" s="43" t="s">
        <v>11</v>
      </c>
      <c r="X8" s="43" t="s">
        <v>12</v>
      </c>
      <c r="Y8" s="43" t="s">
        <v>16</v>
      </c>
      <c r="Z8" s="23" t="s">
        <v>10</v>
      </c>
      <c r="AA8" s="19" t="s">
        <v>17</v>
      </c>
      <c r="AB8" s="43" t="s">
        <v>14</v>
      </c>
      <c r="AC8" s="19" t="s">
        <v>15</v>
      </c>
    </row>
    <row r="9" spans="1:29" ht="18" customHeight="1" x14ac:dyDescent="0.25">
      <c r="A9" s="127"/>
      <c r="B9" s="3">
        <v>1</v>
      </c>
      <c r="C9" s="3">
        <v>1</v>
      </c>
      <c r="D9" s="3">
        <v>2</v>
      </c>
      <c r="E9" s="3">
        <v>2</v>
      </c>
      <c r="F9" s="3">
        <v>3</v>
      </c>
      <c r="G9" s="3">
        <v>4</v>
      </c>
      <c r="H9" s="3">
        <v>4</v>
      </c>
      <c r="I9" s="3">
        <v>4</v>
      </c>
      <c r="J9" s="3">
        <v>5</v>
      </c>
      <c r="K9" s="3">
        <v>5</v>
      </c>
      <c r="L9" s="3">
        <v>0</v>
      </c>
      <c r="M9" s="3">
        <v>0</v>
      </c>
      <c r="N9" s="3"/>
      <c r="O9" s="3"/>
      <c r="P9" s="3"/>
      <c r="Q9" s="3"/>
      <c r="R9" s="3"/>
      <c r="S9" s="3"/>
      <c r="T9" s="44">
        <v>1</v>
      </c>
      <c r="U9" s="44">
        <v>2</v>
      </c>
      <c r="V9" s="44">
        <v>3</v>
      </c>
      <c r="W9" s="44">
        <v>4</v>
      </c>
      <c r="X9" s="44">
        <v>5</v>
      </c>
      <c r="Y9" s="22"/>
      <c r="Z9" s="5"/>
      <c r="AA9" s="24"/>
      <c r="AB9" s="11"/>
      <c r="AC9" s="12"/>
    </row>
    <row r="10" spans="1:29" ht="18" customHeight="1" thickBot="1" x14ac:dyDescent="0.3">
      <c r="A10" s="128"/>
      <c r="B10" s="9">
        <v>5.2313551306724548E-2</v>
      </c>
      <c r="C10" s="9">
        <v>6.8342186510562897E-2</v>
      </c>
      <c r="D10" s="9">
        <v>0.21869412064552307</v>
      </c>
      <c r="E10" s="9">
        <v>9.7558289766311646E-2</v>
      </c>
      <c r="F10" s="9">
        <v>1.5478409826755524E-2</v>
      </c>
      <c r="G10" s="9">
        <v>9.2434719204902649E-2</v>
      </c>
      <c r="H10" s="9">
        <v>0.12534841895103455</v>
      </c>
      <c r="I10" s="9">
        <v>0.13146078586578369</v>
      </c>
      <c r="J10" s="9">
        <v>5.7423226535320282E-2</v>
      </c>
      <c r="K10" s="9">
        <v>3.3032920211553574E-2</v>
      </c>
      <c r="L10" s="9">
        <v>6.8923041224479675E-2</v>
      </c>
      <c r="M10" s="9">
        <v>3.8990315049886703E-2</v>
      </c>
      <c r="N10" s="9"/>
      <c r="O10" s="9"/>
      <c r="P10" s="9"/>
      <c r="Q10" s="9"/>
      <c r="R10" s="2"/>
      <c r="S10" s="20">
        <f>SUM(B10:R10)</f>
        <v>0.99999998509883881</v>
      </c>
      <c r="T10" s="17">
        <f>B10+C10+0.2*L10+0.2*M10</f>
        <v>0.14223840907216073</v>
      </c>
      <c r="U10" s="17">
        <f>D10+E10+0.2*L10+0.2*M10</f>
        <v>0.33783508166670795</v>
      </c>
      <c r="V10" s="17">
        <f>F10+0.2*L10+0.2*M10</f>
        <v>3.7061081081628797E-2</v>
      </c>
      <c r="W10" s="17">
        <f>G10+H10+I10+0.2*L10+0.2*M10</f>
        <v>0.37082659527659412</v>
      </c>
      <c r="X10" s="17">
        <f>J10+K10+0.2*L10+0.2*M10</f>
        <v>0.11203881800174714</v>
      </c>
      <c r="Y10" s="17">
        <f>T10+U10</f>
        <v>0.48007349073886868</v>
      </c>
      <c r="Z10" s="25">
        <f>V10</f>
        <v>3.7061081081628797E-2</v>
      </c>
      <c r="AA10" s="26">
        <f>W10+X10</f>
        <v>0.48286541327834126</v>
      </c>
      <c r="AB10" s="13">
        <f>T10+U10+0.5*V10</f>
        <v>0.49860403127968306</v>
      </c>
      <c r="AC10" s="14">
        <f>1-AB10</f>
        <v>0.50139596872031689</v>
      </c>
    </row>
    <row r="11" spans="1:29" ht="15" customHeight="1" thickTop="1" thickBot="1" x14ac:dyDescent="0.3">
      <c r="A11" s="5"/>
      <c r="B11" s="45"/>
      <c r="C11" s="5"/>
      <c r="D11" s="5"/>
      <c r="E11" s="5"/>
      <c r="F11" s="5"/>
      <c r="G11" s="5"/>
      <c r="H11" s="5"/>
      <c r="I11" s="5"/>
      <c r="J11" s="5"/>
      <c r="K11" s="5"/>
      <c r="L11" s="5"/>
      <c r="M11" s="5"/>
      <c r="N11" s="5"/>
      <c r="O11" s="5"/>
      <c r="P11" s="5"/>
      <c r="Q11" s="5"/>
      <c r="R11" s="5"/>
      <c r="S11" s="5"/>
      <c r="T11" s="5"/>
      <c r="U11" s="5"/>
      <c r="V11" s="5"/>
      <c r="W11" s="5"/>
      <c r="X11" s="5"/>
      <c r="Y11" s="5"/>
      <c r="Z11" s="5"/>
      <c r="AA11" s="5"/>
    </row>
    <row r="12" spans="1:29" ht="30" customHeight="1" thickTop="1" x14ac:dyDescent="0.25">
      <c r="A12" s="126" t="s">
        <v>20</v>
      </c>
      <c r="B12" s="4" t="s">
        <v>6</v>
      </c>
      <c r="C12" s="4" t="s">
        <v>3</v>
      </c>
      <c r="D12" s="4" t="s">
        <v>2</v>
      </c>
      <c r="E12" s="4" t="s">
        <v>27</v>
      </c>
      <c r="F12" s="4" t="s">
        <v>33</v>
      </c>
      <c r="G12" s="4" t="s">
        <v>37</v>
      </c>
      <c r="H12" s="4" t="s">
        <v>35</v>
      </c>
      <c r="I12" s="4" t="s">
        <v>0</v>
      </c>
      <c r="J12" s="4" t="s">
        <v>5</v>
      </c>
      <c r="K12" s="4" t="s">
        <v>38</v>
      </c>
      <c r="L12" s="4" t="s">
        <v>1</v>
      </c>
      <c r="M12" s="4"/>
      <c r="N12" s="4"/>
      <c r="O12" s="4"/>
      <c r="P12" s="4"/>
      <c r="Q12" s="4"/>
      <c r="R12" s="4"/>
      <c r="S12" s="4" t="s">
        <v>13</v>
      </c>
      <c r="T12" s="43" t="s">
        <v>8</v>
      </c>
      <c r="U12" s="43" t="s">
        <v>9</v>
      </c>
      <c r="V12" s="43" t="s">
        <v>10</v>
      </c>
      <c r="W12" s="43" t="s">
        <v>11</v>
      </c>
      <c r="X12" s="43" t="s">
        <v>12</v>
      </c>
      <c r="Y12" s="43" t="s">
        <v>16</v>
      </c>
      <c r="Z12" s="23" t="s">
        <v>10</v>
      </c>
      <c r="AA12" s="19" t="s">
        <v>17</v>
      </c>
      <c r="AB12" s="43" t="s">
        <v>14</v>
      </c>
      <c r="AC12" s="19" t="s">
        <v>15</v>
      </c>
    </row>
    <row r="13" spans="1:29" ht="18" customHeight="1" x14ac:dyDescent="0.25">
      <c r="A13" s="127"/>
      <c r="B13" s="3">
        <v>1</v>
      </c>
      <c r="C13" s="3">
        <v>1</v>
      </c>
      <c r="D13" s="3">
        <v>2</v>
      </c>
      <c r="E13" s="3">
        <v>2</v>
      </c>
      <c r="F13" s="3">
        <v>4</v>
      </c>
      <c r="G13" s="3">
        <v>4</v>
      </c>
      <c r="H13" s="3">
        <v>4</v>
      </c>
      <c r="I13" s="3">
        <v>5</v>
      </c>
      <c r="J13" s="3">
        <v>0</v>
      </c>
      <c r="K13" s="3">
        <v>0</v>
      </c>
      <c r="L13" s="3">
        <v>0</v>
      </c>
      <c r="M13" s="3"/>
      <c r="N13" s="3"/>
      <c r="O13" s="3"/>
      <c r="P13" s="3"/>
      <c r="Q13" s="3"/>
      <c r="R13" s="3"/>
      <c r="S13" s="3"/>
      <c r="T13" s="44">
        <v>1</v>
      </c>
      <c r="U13" s="44">
        <v>2</v>
      </c>
      <c r="V13" s="44">
        <v>3</v>
      </c>
      <c r="W13" s="44">
        <v>4</v>
      </c>
      <c r="X13" s="44">
        <v>5</v>
      </c>
      <c r="Y13" s="22"/>
      <c r="Z13" s="5"/>
      <c r="AA13" s="24"/>
      <c r="AB13" s="11"/>
      <c r="AC13" s="12"/>
    </row>
    <row r="14" spans="1:29" ht="18" customHeight="1" thickBot="1" x14ac:dyDescent="0.3">
      <c r="A14" s="128"/>
      <c r="B14" s="9">
        <v>3.3604234457015991E-2</v>
      </c>
      <c r="C14" s="9">
        <v>5.3636372089385986E-2</v>
      </c>
      <c r="D14" s="9">
        <v>0.2911885678768158</v>
      </c>
      <c r="E14" s="9">
        <v>7.3781028389930725E-2</v>
      </c>
      <c r="F14" s="9">
        <v>0.1199556291103363</v>
      </c>
      <c r="G14" s="9">
        <v>0.1644216924905777</v>
      </c>
      <c r="H14" s="9">
        <v>9.3355871737003326E-2</v>
      </c>
      <c r="I14" s="9">
        <v>9.9724121391773224E-2</v>
      </c>
      <c r="J14" s="9">
        <v>1.7707496881484985E-2</v>
      </c>
      <c r="K14" s="9">
        <v>9.2703267000615597E-4</v>
      </c>
      <c r="L14" s="9">
        <v>5.1697958260774612E-2</v>
      </c>
      <c r="M14" s="9"/>
      <c r="N14" s="9"/>
      <c r="O14" s="9"/>
      <c r="P14" s="9"/>
      <c r="Q14" s="9"/>
      <c r="R14" s="2"/>
      <c r="S14" s="20">
        <f>SUM(B14:R14)</f>
        <v>1.0000000053551048</v>
      </c>
      <c r="T14" s="17">
        <f>B14+C14+0.2*J14+0.2*K14+0.2*L14</f>
        <v>0.10130710410885513</v>
      </c>
      <c r="U14" s="17">
        <f>D14+E14+0.2*J14+0.2*K14+0.2*L14</f>
        <v>0.37903609382919967</v>
      </c>
      <c r="V14" s="17">
        <f>0.2*J14+0.2*K14+0.2*L14</f>
        <v>1.4066497562453151E-2</v>
      </c>
      <c r="W14" s="17">
        <f>F14+G14++H14+0.2*J14+0.2*K14+0.2*L14</f>
        <v>0.39179969090037048</v>
      </c>
      <c r="X14" s="17">
        <f>I14+0.2*J14+0.2*K14+0.2*L14</f>
        <v>0.11379061895422637</v>
      </c>
      <c r="Y14" s="17">
        <f>T14+U14</f>
        <v>0.4803431979380548</v>
      </c>
      <c r="Z14" s="25">
        <f>V14</f>
        <v>1.4066497562453151E-2</v>
      </c>
      <c r="AA14" s="26">
        <f>W14+X14</f>
        <v>0.50559030985459685</v>
      </c>
      <c r="AB14" s="13">
        <f>T14+U14+0.5*V14</f>
        <v>0.48737644671928138</v>
      </c>
      <c r="AC14" s="14">
        <f>1-AB14</f>
        <v>0.51262355328071862</v>
      </c>
    </row>
    <row r="15" spans="1:29" ht="18" customHeight="1" thickTop="1" thickBot="1" x14ac:dyDescent="0.3">
      <c r="A15" s="5"/>
      <c r="B15" s="45"/>
      <c r="C15" s="5"/>
      <c r="D15" s="5"/>
      <c r="E15" s="5"/>
      <c r="F15" s="5"/>
      <c r="G15" s="5"/>
      <c r="H15" s="5"/>
      <c r="I15" s="5"/>
      <c r="J15" s="5"/>
      <c r="K15" s="5"/>
      <c r="L15" s="5"/>
      <c r="M15" s="5"/>
      <c r="N15" s="5"/>
      <c r="O15" s="5"/>
      <c r="P15" s="5"/>
      <c r="Q15" s="5"/>
      <c r="R15" s="5"/>
      <c r="S15" s="5"/>
      <c r="T15" s="5"/>
      <c r="U15" s="5"/>
      <c r="V15" s="5"/>
      <c r="W15" s="5"/>
      <c r="X15" s="5"/>
      <c r="Y15" s="5"/>
      <c r="Z15" s="5"/>
      <c r="AA15" s="5"/>
    </row>
    <row r="16" spans="1:29" ht="28.2" customHeight="1" thickTop="1" x14ac:dyDescent="0.25">
      <c r="A16" s="126" t="s">
        <v>21</v>
      </c>
      <c r="B16" s="4" t="s">
        <v>6</v>
      </c>
      <c r="C16" s="4" t="s">
        <v>39</v>
      </c>
      <c r="D16" s="4" t="s">
        <v>2</v>
      </c>
      <c r="E16" s="4" t="s">
        <v>40</v>
      </c>
      <c r="F16" s="4" t="s">
        <v>41</v>
      </c>
      <c r="G16" s="4" t="s">
        <v>42</v>
      </c>
      <c r="H16" s="4" t="s">
        <v>37</v>
      </c>
      <c r="I16" s="4" t="s">
        <v>35</v>
      </c>
      <c r="J16" s="4" t="s">
        <v>0</v>
      </c>
      <c r="K16" s="4" t="s">
        <v>38</v>
      </c>
      <c r="L16" s="4" t="s">
        <v>1</v>
      </c>
      <c r="M16" s="4"/>
      <c r="N16" s="4"/>
      <c r="O16" s="4"/>
      <c r="P16" s="4"/>
      <c r="Q16" s="4"/>
      <c r="R16" s="4"/>
      <c r="S16" s="4" t="s">
        <v>13</v>
      </c>
      <c r="T16" s="43" t="s">
        <v>8</v>
      </c>
      <c r="U16" s="43" t="s">
        <v>9</v>
      </c>
      <c r="V16" s="43" t="s">
        <v>10</v>
      </c>
      <c r="W16" s="43" t="s">
        <v>11</v>
      </c>
      <c r="X16" s="43" t="s">
        <v>12</v>
      </c>
      <c r="Y16" s="43" t="s">
        <v>16</v>
      </c>
      <c r="Z16" s="23" t="s">
        <v>10</v>
      </c>
      <c r="AA16" s="19" t="s">
        <v>17</v>
      </c>
      <c r="AB16" s="43" t="s">
        <v>14</v>
      </c>
      <c r="AC16" s="19" t="s">
        <v>15</v>
      </c>
    </row>
    <row r="17" spans="1:29" ht="18" customHeight="1" x14ac:dyDescent="0.25">
      <c r="A17" s="127"/>
      <c r="B17" s="3">
        <v>1</v>
      </c>
      <c r="C17" s="3">
        <v>1</v>
      </c>
      <c r="D17" s="3">
        <v>2</v>
      </c>
      <c r="E17" s="3">
        <v>2</v>
      </c>
      <c r="F17" s="3">
        <v>2</v>
      </c>
      <c r="G17" s="3">
        <v>3</v>
      </c>
      <c r="H17" s="3">
        <v>4</v>
      </c>
      <c r="I17" s="3">
        <v>4</v>
      </c>
      <c r="J17" s="3">
        <v>5</v>
      </c>
      <c r="K17" s="3">
        <v>0</v>
      </c>
      <c r="L17" s="3">
        <v>0</v>
      </c>
      <c r="M17" s="3"/>
      <c r="N17" s="3"/>
      <c r="O17" s="3"/>
      <c r="P17" s="3"/>
      <c r="Q17" s="3"/>
      <c r="R17" s="3"/>
      <c r="S17" s="3"/>
      <c r="T17" s="44">
        <v>1</v>
      </c>
      <c r="U17" s="44">
        <v>2</v>
      </c>
      <c r="V17" s="44">
        <v>3</v>
      </c>
      <c r="W17" s="44">
        <v>4</v>
      </c>
      <c r="X17" s="44">
        <v>5</v>
      </c>
      <c r="Y17" s="22"/>
      <c r="Z17" s="5"/>
      <c r="AA17" s="24"/>
      <c r="AB17" s="11"/>
      <c r="AC17" s="12"/>
    </row>
    <row r="18" spans="1:29" ht="18" customHeight="1" thickBot="1" x14ac:dyDescent="0.3">
      <c r="A18" s="128"/>
      <c r="B18" s="9">
        <v>6.2238339334726334E-2</v>
      </c>
      <c r="C18" s="9">
        <v>6.1756197363138199E-2</v>
      </c>
      <c r="D18" s="9">
        <v>0.16404873132705688</v>
      </c>
      <c r="E18" s="9">
        <v>4.0650682058185339E-4</v>
      </c>
      <c r="F18" s="9">
        <v>0.16284190118312836</v>
      </c>
      <c r="G18" s="9">
        <v>8.4377966821193695E-2</v>
      </c>
      <c r="H18" s="9">
        <v>0.27839171886444092</v>
      </c>
      <c r="I18" s="9">
        <v>7.3349051177501678E-2</v>
      </c>
      <c r="J18" s="9">
        <v>6.4709566533565521E-2</v>
      </c>
      <c r="K18" s="9">
        <v>2.5355995167046785E-3</v>
      </c>
      <c r="L18" s="9">
        <v>4.5344419777393341E-2</v>
      </c>
      <c r="M18" s="9"/>
      <c r="N18" s="9"/>
      <c r="O18" s="9"/>
      <c r="P18" s="9"/>
      <c r="Q18" s="9"/>
      <c r="R18" s="2"/>
      <c r="S18" s="20">
        <f>SUM(B18:R18)</f>
        <v>0.99999999871943146</v>
      </c>
      <c r="T18" s="17">
        <f>B18+C18+0.2*K18+0.2*L18</f>
        <v>0.13357054055668413</v>
      </c>
      <c r="U18" s="17">
        <f>D18+E18+F18+0.2*K18+0.2*L18</f>
        <v>0.33687314318958672</v>
      </c>
      <c r="V18" s="17">
        <f>G18+0.2*K18+0.2*L18</f>
        <v>9.3953970680013293E-2</v>
      </c>
      <c r="W18" s="17">
        <f>H18+I18+0.2*K18+0.2*L18</f>
        <v>0.36131677390076222</v>
      </c>
      <c r="X18" s="17">
        <f>J18+0.2*K18+0.2*L18</f>
        <v>7.428557039238512E-2</v>
      </c>
      <c r="Y18" s="17">
        <f>T18+U18</f>
        <v>0.47044368374627088</v>
      </c>
      <c r="Z18" s="25">
        <f>V18</f>
        <v>9.3953970680013293E-2</v>
      </c>
      <c r="AA18" s="26">
        <f>W18+X18</f>
        <v>0.43560234429314737</v>
      </c>
      <c r="AB18" s="13">
        <f>T18+U18+0.5*V18</f>
        <v>0.51742066908627748</v>
      </c>
      <c r="AC18" s="14">
        <f>1-AB18</f>
        <v>0.48257933091372252</v>
      </c>
    </row>
    <row r="19" spans="1:29" ht="18" customHeight="1" thickTop="1" thickBot="1" x14ac:dyDescent="0.3">
      <c r="A19" s="5"/>
      <c r="B19" s="45"/>
      <c r="C19" s="5"/>
      <c r="D19" s="5"/>
      <c r="E19" s="5"/>
      <c r="F19" s="5"/>
      <c r="G19" s="5"/>
      <c r="H19" s="5"/>
      <c r="I19" s="5"/>
      <c r="J19" s="5"/>
      <c r="K19" s="5"/>
      <c r="L19" s="5"/>
      <c r="M19" s="5"/>
      <c r="N19" s="5"/>
      <c r="O19" s="5"/>
      <c r="P19" s="5"/>
      <c r="Q19" s="5"/>
      <c r="R19" s="5"/>
      <c r="S19" s="5"/>
      <c r="T19" s="5"/>
      <c r="U19" s="5"/>
      <c r="V19" s="5"/>
      <c r="W19" s="5"/>
      <c r="X19" s="5"/>
      <c r="Y19" s="5"/>
      <c r="Z19" s="5"/>
      <c r="AA19" s="5"/>
    </row>
    <row r="20" spans="1:29" ht="31.8" customHeight="1" thickTop="1" x14ac:dyDescent="0.25">
      <c r="A20" s="126" t="s">
        <v>22</v>
      </c>
      <c r="B20" s="4" t="s">
        <v>6</v>
      </c>
      <c r="C20" s="4" t="s">
        <v>39</v>
      </c>
      <c r="D20" s="4" t="s">
        <v>2</v>
      </c>
      <c r="E20" s="4" t="s">
        <v>40</v>
      </c>
      <c r="F20" s="4" t="s">
        <v>41</v>
      </c>
      <c r="G20" s="4" t="s">
        <v>42</v>
      </c>
      <c r="H20" s="4" t="s">
        <v>37</v>
      </c>
      <c r="I20" s="4" t="s">
        <v>35</v>
      </c>
      <c r="J20" s="4" t="s">
        <v>0</v>
      </c>
      <c r="K20" s="4" t="s">
        <v>1</v>
      </c>
      <c r="L20" s="4"/>
      <c r="M20" s="4"/>
      <c r="N20" s="4"/>
      <c r="O20" s="4"/>
      <c r="P20" s="4"/>
      <c r="Q20" s="4"/>
      <c r="R20" s="4"/>
      <c r="S20" s="4" t="s">
        <v>13</v>
      </c>
      <c r="T20" s="46" t="s">
        <v>8</v>
      </c>
      <c r="U20" s="46" t="s">
        <v>9</v>
      </c>
      <c r="V20" s="46" t="s">
        <v>10</v>
      </c>
      <c r="W20" s="46" t="s">
        <v>11</v>
      </c>
      <c r="X20" s="46" t="s">
        <v>12</v>
      </c>
      <c r="Y20" s="43" t="s">
        <v>16</v>
      </c>
      <c r="Z20" s="23" t="s">
        <v>10</v>
      </c>
      <c r="AA20" s="19" t="s">
        <v>17</v>
      </c>
      <c r="AB20" s="43" t="s">
        <v>14</v>
      </c>
      <c r="AC20" s="19" t="s">
        <v>15</v>
      </c>
    </row>
    <row r="21" spans="1:29" ht="18" customHeight="1" x14ac:dyDescent="0.25">
      <c r="A21" s="127"/>
      <c r="B21" s="3">
        <v>1</v>
      </c>
      <c r="C21" s="3">
        <v>1</v>
      </c>
      <c r="D21" s="3">
        <v>2</v>
      </c>
      <c r="E21" s="3">
        <v>2</v>
      </c>
      <c r="F21" s="3">
        <v>2</v>
      </c>
      <c r="G21" s="3">
        <v>3</v>
      </c>
      <c r="H21" s="3">
        <v>4</v>
      </c>
      <c r="I21" s="3">
        <v>4</v>
      </c>
      <c r="J21" s="3">
        <v>5</v>
      </c>
      <c r="K21" s="3">
        <v>0</v>
      </c>
      <c r="L21" s="3"/>
      <c r="M21" s="111"/>
      <c r="N21" s="3"/>
      <c r="O21" s="3"/>
      <c r="P21" s="3"/>
      <c r="Q21" s="3"/>
      <c r="R21" s="3"/>
      <c r="S21" s="3"/>
      <c r="T21" s="47">
        <v>1</v>
      </c>
      <c r="U21" s="47">
        <v>2</v>
      </c>
      <c r="V21" s="47">
        <v>3</v>
      </c>
      <c r="W21" s="47">
        <v>4</v>
      </c>
      <c r="X21" s="47">
        <v>5</v>
      </c>
      <c r="Y21" s="22"/>
      <c r="Z21" s="5"/>
      <c r="AA21" s="24"/>
      <c r="AB21" s="11"/>
      <c r="AC21" s="12"/>
    </row>
    <row r="22" spans="1:29" ht="18" customHeight="1" thickBot="1" x14ac:dyDescent="0.3">
      <c r="A22" s="128"/>
      <c r="B22" s="9">
        <v>1.565263420343399E-2</v>
      </c>
      <c r="C22" s="9">
        <v>6.4424552023410797E-2</v>
      </c>
      <c r="D22" s="9">
        <v>0.13904291391372681</v>
      </c>
      <c r="E22" s="9">
        <v>2.9473893344402313E-2</v>
      </c>
      <c r="F22" s="9">
        <v>8.9478567242622375E-2</v>
      </c>
      <c r="G22" s="9">
        <v>9.9298037588596344E-2</v>
      </c>
      <c r="H22" s="9">
        <v>0.20701079070568085</v>
      </c>
      <c r="I22" s="9">
        <v>6.0321830213069916E-2</v>
      </c>
      <c r="J22" s="9">
        <v>0.25183579325675964</v>
      </c>
      <c r="K22" s="9">
        <v>4.346098005771637E-2</v>
      </c>
      <c r="L22" s="9"/>
      <c r="M22" s="9"/>
      <c r="N22" s="9"/>
      <c r="O22" s="9"/>
      <c r="P22" s="9"/>
      <c r="Q22" s="9"/>
      <c r="R22" s="2"/>
      <c r="S22" s="20">
        <f>SUM(B22:R22)</f>
        <v>0.9999999925494194</v>
      </c>
      <c r="T22" s="17">
        <f>B22+C22+0.2*K22+0.2*L22</f>
        <v>8.8769382238388067E-2</v>
      </c>
      <c r="U22" s="17">
        <f>D22+E22+F22+0.2*K22+0.2*L22</f>
        <v>0.26668757051229475</v>
      </c>
      <c r="V22" s="17">
        <f>G22+0.2*K22+0.2*L22</f>
        <v>0.10799023360013962</v>
      </c>
      <c r="W22" s="17">
        <f>H22+I22+0.2*K22+0.2*L22</f>
        <v>0.27602481693029401</v>
      </c>
      <c r="X22" s="17">
        <f>J22+0.2*K22+0.2*L22</f>
        <v>0.2605279892683029</v>
      </c>
      <c r="Y22" s="17">
        <f>T22+U22</f>
        <v>0.35545695275068279</v>
      </c>
      <c r="Z22" s="25">
        <f>V22</f>
        <v>0.10799023360013962</v>
      </c>
      <c r="AA22" s="26">
        <f>W22+X22</f>
        <v>0.53655280619859691</v>
      </c>
      <c r="AB22" s="13">
        <f>T22+U22+0.5*V22</f>
        <v>0.40945206955075258</v>
      </c>
      <c r="AC22" s="14">
        <f>1-AB22</f>
        <v>0.59054793044924736</v>
      </c>
    </row>
    <row r="23" spans="1:29" ht="18" customHeight="1" thickTop="1" thickBot="1" x14ac:dyDescent="0.3">
      <c r="A23" s="5"/>
      <c r="B23" s="50"/>
      <c r="C23" s="5"/>
      <c r="D23" s="5"/>
      <c r="E23" s="5"/>
      <c r="F23" s="5"/>
      <c r="G23" s="5"/>
      <c r="H23" s="5"/>
      <c r="I23" s="5"/>
      <c r="J23" s="5"/>
      <c r="K23" s="5"/>
      <c r="L23" s="5"/>
      <c r="M23" s="5"/>
      <c r="N23" s="5"/>
      <c r="O23" s="5"/>
      <c r="P23" s="5"/>
      <c r="Q23" s="5"/>
      <c r="R23" s="5"/>
      <c r="S23" s="5"/>
      <c r="T23" s="5"/>
      <c r="U23" s="5"/>
      <c r="V23" s="5"/>
      <c r="W23" s="5"/>
      <c r="X23" s="5"/>
      <c r="Y23" s="5"/>
      <c r="Z23" s="5"/>
      <c r="AA23" s="5"/>
    </row>
    <row r="24" spans="1:29" ht="30" customHeight="1" thickTop="1" x14ac:dyDescent="0.25">
      <c r="A24" s="126" t="s">
        <v>23</v>
      </c>
      <c r="B24" s="4" t="s">
        <v>6</v>
      </c>
      <c r="C24" s="4" t="s">
        <v>3</v>
      </c>
      <c r="D24" s="4" t="s">
        <v>43</v>
      </c>
      <c r="E24" s="4" t="s">
        <v>44</v>
      </c>
      <c r="F24" s="4" t="s">
        <v>2</v>
      </c>
      <c r="G24" s="4" t="s">
        <v>41</v>
      </c>
      <c r="H24" s="4" t="s">
        <v>45</v>
      </c>
      <c r="I24" s="4" t="s">
        <v>46</v>
      </c>
      <c r="J24" s="4" t="s">
        <v>47</v>
      </c>
      <c r="K24" s="4" t="s">
        <v>48</v>
      </c>
      <c r="L24" s="4" t="s">
        <v>49</v>
      </c>
      <c r="M24" s="4" t="s">
        <v>50</v>
      </c>
      <c r="N24" s="4" t="s">
        <v>51</v>
      </c>
      <c r="O24" s="4" t="s">
        <v>52</v>
      </c>
      <c r="P24" s="4" t="s">
        <v>53</v>
      </c>
      <c r="Q24" s="4" t="s">
        <v>164</v>
      </c>
      <c r="R24" s="4" t="s">
        <v>1</v>
      </c>
      <c r="S24" s="4" t="s">
        <v>13</v>
      </c>
      <c r="T24" s="48" t="s">
        <v>8</v>
      </c>
      <c r="U24" s="43" t="s">
        <v>9</v>
      </c>
      <c r="V24" s="43" t="s">
        <v>10</v>
      </c>
      <c r="W24" s="43" t="s">
        <v>11</v>
      </c>
      <c r="X24" s="43" t="s">
        <v>12</v>
      </c>
      <c r="Y24" s="43" t="s">
        <v>16</v>
      </c>
      <c r="Z24" s="23" t="s">
        <v>10</v>
      </c>
      <c r="AA24" s="19" t="s">
        <v>17</v>
      </c>
      <c r="AB24" s="43" t="s">
        <v>14</v>
      </c>
      <c r="AC24" s="19" t="s">
        <v>15</v>
      </c>
    </row>
    <row r="25" spans="1:29" ht="18" customHeight="1" x14ac:dyDescent="0.25">
      <c r="A25" s="127"/>
      <c r="B25" s="3">
        <v>1</v>
      </c>
      <c r="C25" s="3">
        <v>1</v>
      </c>
      <c r="D25" s="3">
        <v>1</v>
      </c>
      <c r="E25" s="3">
        <v>2</v>
      </c>
      <c r="F25" s="3">
        <v>2</v>
      </c>
      <c r="G25" s="3">
        <v>2</v>
      </c>
      <c r="H25" s="3">
        <v>3</v>
      </c>
      <c r="I25" s="3">
        <v>3</v>
      </c>
      <c r="J25" s="3">
        <v>4</v>
      </c>
      <c r="K25" s="3">
        <v>4</v>
      </c>
      <c r="L25" s="3">
        <v>5</v>
      </c>
      <c r="M25" s="3">
        <v>5</v>
      </c>
      <c r="N25" s="3">
        <v>5</v>
      </c>
      <c r="O25" s="3">
        <v>0</v>
      </c>
      <c r="P25" s="3">
        <v>0</v>
      </c>
      <c r="Q25" s="3">
        <v>0</v>
      </c>
      <c r="R25" s="3">
        <v>0</v>
      </c>
      <c r="S25" s="3"/>
      <c r="T25" s="49">
        <v>1</v>
      </c>
      <c r="U25" s="44">
        <v>2</v>
      </c>
      <c r="V25" s="44">
        <v>3</v>
      </c>
      <c r="W25" s="44">
        <v>4</v>
      </c>
      <c r="X25" s="44">
        <v>5</v>
      </c>
      <c r="Y25" s="22"/>
      <c r="Z25" s="5"/>
      <c r="AA25" s="24"/>
      <c r="AB25" s="11"/>
      <c r="AC25" s="12"/>
    </row>
    <row r="26" spans="1:29" ht="18" customHeight="1" thickBot="1" x14ac:dyDescent="0.3">
      <c r="A26" s="128"/>
      <c r="B26" s="9">
        <v>7.6107238419353962E-3</v>
      </c>
      <c r="C26" s="9">
        <v>2.5168022140860558E-2</v>
      </c>
      <c r="D26" s="9">
        <v>6.1900828033685684E-2</v>
      </c>
      <c r="E26" s="9">
        <v>3.2715458422899246E-2</v>
      </c>
      <c r="F26" s="9">
        <v>6.1986826360225677E-2</v>
      </c>
      <c r="G26" s="9">
        <v>0.13476136326789856</v>
      </c>
      <c r="H26" s="9">
        <v>1.8131956458091736E-2</v>
      </c>
      <c r="I26" s="9">
        <v>0.22372817993164063</v>
      </c>
      <c r="J26" s="9">
        <v>2.4966511875391006E-2</v>
      </c>
      <c r="K26" s="9">
        <v>8.4869228303432465E-2</v>
      </c>
      <c r="L26" s="9">
        <v>3.5483933985233307E-2</v>
      </c>
      <c r="M26" s="9">
        <v>1.1414227075874805E-2</v>
      </c>
      <c r="N26" s="9">
        <v>0.23429203033447266</v>
      </c>
      <c r="O26" s="9">
        <v>5.4712165147066116E-3</v>
      </c>
      <c r="P26" s="9">
        <v>6.4698862843215466E-3</v>
      </c>
      <c r="Q26" s="9">
        <v>2.2004956379532814E-2</v>
      </c>
      <c r="R26" s="9">
        <v>9.0246554464101791E-3</v>
      </c>
      <c r="S26" s="20">
        <f>SUM(B26:R26)</f>
        <v>1.0000000046566129</v>
      </c>
      <c r="T26" s="17">
        <f>B26+C26+D26+0.2*O26+0.2*P26+0.2*Q26+0.2*R26</f>
        <v>0.10327371694147587</v>
      </c>
      <c r="U26" s="17">
        <f>E26+F26+G26+0.2*O26+0.2*P26+0.2*Q26+0.2*R26</f>
        <v>0.23805779097601773</v>
      </c>
      <c r="V26" s="17">
        <f>H26+I26+0.2*O26+0.2*P26+0.2*Q26+0.2*R26</f>
        <v>0.25045427931472664</v>
      </c>
      <c r="W26" s="17">
        <f>J26+K26+0.2*O26+0.2*P26+0.2*Q26+0.2*R26</f>
        <v>0.1184298831038177</v>
      </c>
      <c r="X26" s="17">
        <f>L26++M26+N26+0.2*O26+0.2*P26+0.2*Q26+0.2*R26</f>
        <v>0.28978433432057499</v>
      </c>
      <c r="Y26" s="17">
        <f>T26+U26</f>
        <v>0.34133150791749362</v>
      </c>
      <c r="Z26" s="25">
        <f>V26</f>
        <v>0.25045427931472664</v>
      </c>
      <c r="AA26" s="26">
        <f>W26+X26</f>
        <v>0.40821421742439268</v>
      </c>
      <c r="AB26" s="13">
        <f>T26+U26+0.5*V26</f>
        <v>0.46655864757485693</v>
      </c>
      <c r="AC26" s="14">
        <f>1-AB26</f>
        <v>0.53344135242514312</v>
      </c>
    </row>
    <row r="27" spans="1:29" ht="18" customHeight="1" thickTop="1" thickBot="1" x14ac:dyDescent="0.35">
      <c r="A27" s="7"/>
      <c r="B27" s="5"/>
      <c r="C27" s="5"/>
      <c r="D27" s="5"/>
      <c r="E27" s="5"/>
      <c r="F27" s="5"/>
      <c r="G27" s="5"/>
      <c r="H27" s="5"/>
      <c r="I27" s="5"/>
      <c r="J27" s="5"/>
      <c r="K27" s="5"/>
      <c r="L27" s="5"/>
      <c r="M27" s="5"/>
      <c r="N27" s="5"/>
      <c r="O27" s="5"/>
      <c r="P27" s="5"/>
      <c r="Q27" s="5"/>
      <c r="R27" s="5"/>
      <c r="S27" s="5"/>
      <c r="T27" s="5"/>
      <c r="U27" s="5"/>
      <c r="V27" s="5"/>
      <c r="W27" s="5"/>
      <c r="X27" s="5"/>
      <c r="Y27" s="5"/>
      <c r="Z27" s="5"/>
      <c r="AA27" s="5"/>
    </row>
    <row r="28" spans="1:29" ht="31.2" customHeight="1" thickTop="1" x14ac:dyDescent="0.25">
      <c r="A28" s="126" t="s">
        <v>24</v>
      </c>
      <c r="B28" s="4" t="s">
        <v>6</v>
      </c>
      <c r="C28" s="4" t="s">
        <v>165</v>
      </c>
      <c r="D28" s="4" t="s">
        <v>3</v>
      </c>
      <c r="E28" s="4" t="s">
        <v>43</v>
      </c>
      <c r="F28" s="4" t="s">
        <v>2</v>
      </c>
      <c r="G28" s="4" t="s">
        <v>41</v>
      </c>
      <c r="H28" s="4" t="s">
        <v>45</v>
      </c>
      <c r="I28" s="4" t="s">
        <v>166</v>
      </c>
      <c r="J28" s="4" t="s">
        <v>48</v>
      </c>
      <c r="K28" s="4" t="s">
        <v>50</v>
      </c>
      <c r="L28" s="4" t="s">
        <v>51</v>
      </c>
      <c r="M28" s="4" t="s">
        <v>167</v>
      </c>
      <c r="N28" s="4" t="s">
        <v>168</v>
      </c>
      <c r="O28" s="4" t="s">
        <v>164</v>
      </c>
      <c r="P28" s="4" t="s">
        <v>1</v>
      </c>
      <c r="Q28" s="4"/>
      <c r="R28" s="4"/>
      <c r="S28" s="4" t="s">
        <v>13</v>
      </c>
      <c r="T28" s="51" t="s">
        <v>8</v>
      </c>
      <c r="U28" s="51" t="s">
        <v>9</v>
      </c>
      <c r="V28" s="51" t="s">
        <v>10</v>
      </c>
      <c r="W28" s="51" t="s">
        <v>11</v>
      </c>
      <c r="X28" s="51" t="s">
        <v>12</v>
      </c>
      <c r="Y28" s="51" t="s">
        <v>16</v>
      </c>
      <c r="Z28" s="23" t="s">
        <v>10</v>
      </c>
      <c r="AA28" s="19" t="s">
        <v>17</v>
      </c>
      <c r="AB28" s="51" t="s">
        <v>14</v>
      </c>
      <c r="AC28" s="19" t="s">
        <v>15</v>
      </c>
    </row>
    <row r="29" spans="1:29" ht="18" customHeight="1" x14ac:dyDescent="0.25">
      <c r="A29" s="127"/>
      <c r="B29" s="3">
        <v>1</v>
      </c>
      <c r="C29" s="3">
        <v>1</v>
      </c>
      <c r="D29" s="3">
        <v>1</v>
      </c>
      <c r="E29" s="3">
        <v>1</v>
      </c>
      <c r="F29" s="3">
        <v>2</v>
      </c>
      <c r="G29" s="3">
        <v>2</v>
      </c>
      <c r="H29" s="3">
        <v>0</v>
      </c>
      <c r="I29" s="3">
        <v>3</v>
      </c>
      <c r="J29" s="3">
        <v>4</v>
      </c>
      <c r="K29" s="3">
        <v>5</v>
      </c>
      <c r="L29" s="3">
        <v>5</v>
      </c>
      <c r="M29" s="3">
        <v>5</v>
      </c>
      <c r="N29" s="3">
        <v>0</v>
      </c>
      <c r="O29" s="3">
        <v>0</v>
      </c>
      <c r="P29" s="3">
        <v>0</v>
      </c>
      <c r="Q29" s="3"/>
      <c r="R29" s="3"/>
      <c r="S29" s="3"/>
      <c r="T29" s="52">
        <v>1</v>
      </c>
      <c r="U29" s="52">
        <v>2</v>
      </c>
      <c r="V29" s="52">
        <v>3</v>
      </c>
      <c r="W29" s="52">
        <v>4</v>
      </c>
      <c r="X29" s="52">
        <v>5</v>
      </c>
      <c r="Y29" s="22"/>
      <c r="Z29" s="5"/>
      <c r="AA29" s="24"/>
      <c r="AB29" s="11"/>
      <c r="AC29" s="12"/>
    </row>
    <row r="30" spans="1:29" ht="18" customHeight="1" thickBot="1" x14ac:dyDescent="0.3">
      <c r="A30" s="128"/>
      <c r="B30" s="9">
        <v>4.7556371428072453E-3</v>
      </c>
      <c r="C30" s="9">
        <v>1.5483739553019404E-3</v>
      </c>
      <c r="D30" s="9">
        <v>2.3849792778491974E-2</v>
      </c>
      <c r="E30" s="9">
        <v>9.7647644579410553E-2</v>
      </c>
      <c r="F30" s="9">
        <v>0.13834746181964874</v>
      </c>
      <c r="G30" s="9">
        <v>5.4369829595088959E-2</v>
      </c>
      <c r="H30" s="9">
        <v>1.2547383084893227E-2</v>
      </c>
      <c r="I30" s="9">
        <v>0.14517685770988464</v>
      </c>
      <c r="J30" s="9">
        <v>7.2587557137012482E-2</v>
      </c>
      <c r="K30" s="9">
        <v>9.9505623802542686E-3</v>
      </c>
      <c r="L30" s="9">
        <v>0.31650906801223755</v>
      </c>
      <c r="M30" s="9">
        <v>5.4336093366146088E-2</v>
      </c>
      <c r="N30" s="9">
        <v>2.3910306394100189E-2</v>
      </c>
      <c r="O30" s="9">
        <v>2.0267108455300331E-2</v>
      </c>
      <c r="P30" s="9">
        <v>2.41963230073452E-2</v>
      </c>
      <c r="Q30" s="9"/>
      <c r="R30" s="9"/>
      <c r="S30" s="20">
        <f>SUM(B30:R30)</f>
        <v>0.99999999941792339</v>
      </c>
      <c r="T30" s="17">
        <f>B30+C30+D30+E30+0.2*O30+0.2*P30+0.2*N30+0.2*H30</f>
        <v>0.14398567264433951</v>
      </c>
      <c r="U30" s="17">
        <f>F30+G30+0.2*O30+0.2*P30+0.2*N30+0.2*H30</f>
        <v>0.2089015156030655</v>
      </c>
      <c r="V30" s="17">
        <f>I30+0.2*O30+0.2*P30+0.2*Q30+0.2*R30+0.2*H30</f>
        <v>0.15657902061939241</v>
      </c>
      <c r="W30" s="17">
        <f>J30+0.2*O30+0.2*P30+0.2*N30+0.2*H30</f>
        <v>8.8771781325340277E-2</v>
      </c>
      <c r="X30" s="17">
        <f>K30+L30+M30+0.2*O30+0.2*P30+0.2*N30+0.2*H30</f>
        <v>0.39697994794696567</v>
      </c>
      <c r="Y30" s="17">
        <f>T30+U30</f>
        <v>0.352887188247405</v>
      </c>
      <c r="Z30" s="25">
        <f>V30</f>
        <v>0.15657902061939241</v>
      </c>
      <c r="AA30" s="26">
        <f>W30+X30</f>
        <v>0.48575172927230592</v>
      </c>
      <c r="AB30" s="13">
        <f>T30+U30+0.5*V30</f>
        <v>0.43117669855710122</v>
      </c>
      <c r="AC30" s="14">
        <f>1-AB30</f>
        <v>0.56882330144289872</v>
      </c>
    </row>
    <row r="31" spans="1:29" ht="18" customHeight="1" thickTop="1" thickBot="1" x14ac:dyDescent="0.3">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1:29" ht="18" customHeight="1" thickTop="1" x14ac:dyDescent="0.25">
      <c r="A32" s="120" t="s">
        <v>173</v>
      </c>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2"/>
    </row>
    <row r="33" spans="1:29" ht="75" customHeight="1" thickBot="1" x14ac:dyDescent="0.3">
      <c r="A33" s="123"/>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5"/>
    </row>
    <row r="34" spans="1:29" ht="25.05" customHeight="1" thickTop="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row>
    <row r="35" spans="1:29" ht="25.0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row>
    <row r="36" spans="1:29" ht="25.0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row>
    <row r="37" spans="1:29" ht="25.0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row>
    <row r="38" spans="1:29" ht="25.0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row>
    <row r="39" spans="1:29" ht="25.0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row>
    <row r="40" spans="1:29" ht="25.05" customHeight="1" x14ac:dyDescent="0.25"/>
    <row r="41" spans="1:29" ht="25.05" customHeight="1" x14ac:dyDescent="0.25"/>
    <row r="42" spans="1:29" ht="25.05" customHeight="1" x14ac:dyDescent="0.25"/>
    <row r="43" spans="1:29" ht="25.05" customHeight="1" x14ac:dyDescent="0.25"/>
    <row r="44" spans="1:29" ht="25.05" customHeight="1" x14ac:dyDescent="0.25"/>
    <row r="45" spans="1:29" ht="25.05" customHeight="1" x14ac:dyDescent="0.25"/>
  </sheetData>
  <mergeCells count="9">
    <mergeCell ref="A32:AC33"/>
    <mergeCell ref="A4:A6"/>
    <mergeCell ref="A24:A26"/>
    <mergeCell ref="A2:AC2"/>
    <mergeCell ref="A20:A22"/>
    <mergeCell ref="A28:A30"/>
    <mergeCell ref="A8:A10"/>
    <mergeCell ref="A12:A14"/>
    <mergeCell ref="A16:A18"/>
  </mergeCells>
  <printOptions horizontalCentered="1" verticalCentered="1"/>
  <pageMargins left="0.23622047244094491" right="0.23622047244094491" top="0.74803149606299213" bottom="0.74803149606299213" header="0.31496062992125984" footer="0.31496062992125984"/>
  <pageSetup paperSize="9" scale="65"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dimension ref="A1:AN366"/>
  <sheetViews>
    <sheetView workbookViewId="0">
      <pane xSplit="1" ySplit="5" topLeftCell="B6" activePane="bottomRight" state="frozen"/>
      <selection activeCell="O19" sqref="O19"/>
      <selection pane="topRight" activeCell="O19" sqref="O19"/>
      <selection pane="bottomLeft" activeCell="O19" sqref="O19"/>
      <selection pane="bottomRight"/>
    </sheetView>
  </sheetViews>
  <sheetFormatPr baseColWidth="10" defaultRowHeight="14.4" x14ac:dyDescent="0.3"/>
  <cols>
    <col min="1" max="1" width="19.54296875" style="53" customWidth="1"/>
    <col min="2" max="11" width="10.90625" style="53"/>
    <col min="12" max="12" width="13" style="53" customWidth="1"/>
    <col min="13" max="15" width="10.90625" style="53"/>
    <col min="16" max="17" width="12.54296875" style="53" customWidth="1"/>
    <col min="18" max="21" width="10.90625" style="53"/>
    <col min="22" max="23" width="11.90625" style="53" customWidth="1"/>
    <col min="24" max="38" width="10.90625" style="53"/>
    <col min="39" max="39" width="12.36328125" style="53" customWidth="1"/>
    <col min="40" max="16384" width="10.90625" style="53"/>
  </cols>
  <sheetData>
    <row r="1" spans="1:40" ht="15.6" x14ac:dyDescent="0.3">
      <c r="A1" s="27" t="s">
        <v>54</v>
      </c>
    </row>
    <row r="2" spans="1:40" ht="15.6" x14ac:dyDescent="0.3">
      <c r="A2" s="27" t="s">
        <v>162</v>
      </c>
    </row>
    <row r="3" spans="1:40" ht="16.2" thickBot="1" x14ac:dyDescent="0.35">
      <c r="A3" s="28"/>
    </row>
    <row r="4" spans="1:40" ht="37.200000000000003" customHeight="1" thickTop="1" thickBot="1" x14ac:dyDescent="0.35">
      <c r="A4" s="28"/>
      <c r="B4" s="138" t="s">
        <v>55</v>
      </c>
      <c r="C4" s="139"/>
      <c r="D4" s="139"/>
      <c r="E4" s="139"/>
      <c r="F4" s="139"/>
      <c r="G4" s="139"/>
      <c r="H4" s="139"/>
      <c r="I4" s="139"/>
      <c r="J4" s="139"/>
      <c r="K4" s="140"/>
      <c r="L4" s="138" t="s">
        <v>56</v>
      </c>
      <c r="M4" s="139"/>
      <c r="N4" s="139"/>
      <c r="O4" s="139"/>
      <c r="P4" s="139"/>
      <c r="Q4" s="139"/>
      <c r="R4" s="139"/>
      <c r="S4" s="138" t="s">
        <v>57</v>
      </c>
      <c r="T4" s="139"/>
      <c r="U4" s="139"/>
      <c r="V4" s="139"/>
      <c r="W4" s="139"/>
      <c r="X4" s="140"/>
      <c r="Y4" s="138" t="s">
        <v>58</v>
      </c>
      <c r="Z4" s="139"/>
      <c r="AA4" s="139"/>
      <c r="AB4" s="139"/>
      <c r="AC4" s="139"/>
      <c r="AD4" s="140"/>
      <c r="AE4" s="138" t="s">
        <v>163</v>
      </c>
      <c r="AF4" s="139"/>
      <c r="AG4" s="139"/>
      <c r="AH4" s="139"/>
      <c r="AI4" s="139"/>
      <c r="AJ4" s="140"/>
      <c r="AK4" s="135" t="s">
        <v>59</v>
      </c>
      <c r="AL4" s="136"/>
      <c r="AM4" s="137"/>
    </row>
    <row r="5" spans="1:40" ht="102" customHeight="1" thickTop="1" thickBot="1" x14ac:dyDescent="0.35">
      <c r="A5" s="29"/>
      <c r="B5" s="54" t="s">
        <v>60</v>
      </c>
      <c r="C5" s="55" t="s">
        <v>61</v>
      </c>
      <c r="D5" s="55" t="s">
        <v>62</v>
      </c>
      <c r="E5" s="55" t="s">
        <v>63</v>
      </c>
      <c r="F5" s="55" t="s">
        <v>64</v>
      </c>
      <c r="G5" s="55" t="s">
        <v>65</v>
      </c>
      <c r="H5" s="55" t="s">
        <v>66</v>
      </c>
      <c r="I5" s="55" t="s">
        <v>55</v>
      </c>
      <c r="J5" s="55" t="s">
        <v>67</v>
      </c>
      <c r="K5" s="56" t="s">
        <v>68</v>
      </c>
      <c r="L5" s="57" t="s">
        <v>69</v>
      </c>
      <c r="M5" s="57" t="s">
        <v>70</v>
      </c>
      <c r="N5" s="57" t="s">
        <v>71</v>
      </c>
      <c r="O5" s="57" t="s">
        <v>72</v>
      </c>
      <c r="P5" s="57" t="s">
        <v>73</v>
      </c>
      <c r="Q5" s="57" t="s">
        <v>74</v>
      </c>
      <c r="R5" s="57" t="s">
        <v>75</v>
      </c>
      <c r="S5" s="58" t="s">
        <v>69</v>
      </c>
      <c r="T5" s="59" t="s">
        <v>70</v>
      </c>
      <c r="U5" s="59" t="s">
        <v>71</v>
      </c>
      <c r="V5" s="59" t="s">
        <v>73</v>
      </c>
      <c r="W5" s="57" t="s">
        <v>74</v>
      </c>
      <c r="X5" s="60" t="s">
        <v>75</v>
      </c>
      <c r="Y5" s="58" t="s">
        <v>69</v>
      </c>
      <c r="Z5" s="59" t="s">
        <v>70</v>
      </c>
      <c r="AA5" s="59" t="s">
        <v>71</v>
      </c>
      <c r="AB5" s="59" t="s">
        <v>73</v>
      </c>
      <c r="AC5" s="59" t="s">
        <v>75</v>
      </c>
      <c r="AD5" s="56" t="s">
        <v>76</v>
      </c>
      <c r="AE5" s="58" t="s">
        <v>69</v>
      </c>
      <c r="AF5" s="59" t="s">
        <v>70</v>
      </c>
      <c r="AG5" s="59" t="s">
        <v>71</v>
      </c>
      <c r="AH5" s="59" t="s">
        <v>73</v>
      </c>
      <c r="AI5" s="57" t="s">
        <v>74</v>
      </c>
      <c r="AJ5" s="60" t="s">
        <v>75</v>
      </c>
      <c r="AK5" s="61" t="s">
        <v>77</v>
      </c>
      <c r="AL5" s="62" t="s">
        <v>78</v>
      </c>
      <c r="AM5" s="63" t="s">
        <v>79</v>
      </c>
    </row>
    <row r="6" spans="1:40" ht="16.2" thickTop="1" x14ac:dyDescent="0.3">
      <c r="A6" s="29">
        <v>1780</v>
      </c>
      <c r="B6" s="64">
        <v>27.486671999999999</v>
      </c>
      <c r="C6" s="65"/>
      <c r="D6" s="65"/>
      <c r="E6" s="65"/>
      <c r="F6" s="65"/>
      <c r="G6" s="66">
        <v>3.7789225578308105E-2</v>
      </c>
      <c r="H6" s="66">
        <v>1.7992647364735603E-2</v>
      </c>
      <c r="I6" s="65"/>
      <c r="J6" s="65"/>
      <c r="K6" s="67"/>
      <c r="L6" s="65"/>
      <c r="M6" s="65"/>
      <c r="N6" s="65"/>
      <c r="O6" s="65"/>
      <c r="P6" s="66"/>
      <c r="Q6" s="66"/>
      <c r="R6" s="68"/>
      <c r="S6" s="69"/>
      <c r="T6" s="68"/>
      <c r="U6" s="68"/>
      <c r="V6" s="68"/>
      <c r="W6" s="68"/>
      <c r="X6" s="70"/>
      <c r="Y6" s="69"/>
      <c r="Z6" s="68"/>
      <c r="AA6" s="68"/>
      <c r="AB6" s="66"/>
      <c r="AC6" s="68"/>
      <c r="AD6" s="71"/>
      <c r="AE6" s="69"/>
      <c r="AF6" s="68"/>
      <c r="AG6" s="68"/>
      <c r="AH6" s="68"/>
      <c r="AI6" s="68"/>
      <c r="AJ6" s="70"/>
      <c r="AK6" s="72"/>
      <c r="AL6" s="73"/>
      <c r="AM6" s="74"/>
      <c r="AN6" s="75">
        <v>0.5</v>
      </c>
    </row>
    <row r="7" spans="1:40" ht="15.6" x14ac:dyDescent="0.3">
      <c r="A7" s="29">
        <v>1781</v>
      </c>
      <c r="B7" s="76">
        <v>27.514158999999999</v>
      </c>
      <c r="C7" s="77"/>
      <c r="D7" s="77"/>
      <c r="E7" s="77"/>
      <c r="F7" s="77"/>
      <c r="G7" s="73">
        <v>3.7789233028888702E-2</v>
      </c>
      <c r="H7" s="73">
        <v>1.7992626875638962E-2</v>
      </c>
      <c r="I7" s="77"/>
      <c r="J7" s="77"/>
      <c r="K7" s="78"/>
      <c r="L7" s="77"/>
      <c r="M7" s="77"/>
      <c r="N7" s="77"/>
      <c r="O7" s="77"/>
      <c r="P7" s="73"/>
      <c r="Q7" s="73"/>
      <c r="R7" s="79"/>
      <c r="S7" s="80"/>
      <c r="T7" s="79"/>
      <c r="U7" s="79"/>
      <c r="V7" s="79"/>
      <c r="W7" s="79"/>
      <c r="X7" s="71"/>
      <c r="Y7" s="80"/>
      <c r="Z7" s="79"/>
      <c r="AA7" s="79"/>
      <c r="AB7" s="73"/>
      <c r="AC7" s="79"/>
      <c r="AD7" s="71"/>
      <c r="AE7" s="80"/>
      <c r="AF7" s="79"/>
      <c r="AG7" s="79"/>
      <c r="AH7" s="79"/>
      <c r="AI7" s="79"/>
      <c r="AJ7" s="71"/>
      <c r="AK7" s="72"/>
      <c r="AL7" s="73"/>
      <c r="AM7" s="74"/>
      <c r="AN7" s="75">
        <v>0.5</v>
      </c>
    </row>
    <row r="8" spans="1:40" ht="15.6" x14ac:dyDescent="0.3">
      <c r="A8" s="29">
        <v>1782</v>
      </c>
      <c r="B8" s="76">
        <v>27.541675000000001</v>
      </c>
      <c r="C8" s="77"/>
      <c r="D8" s="77"/>
      <c r="E8" s="77"/>
      <c r="F8" s="77"/>
      <c r="G8" s="73">
        <v>3.7789203226566315E-2</v>
      </c>
      <c r="H8" s="73">
        <v>1.7992623150348663E-2</v>
      </c>
      <c r="I8" s="77"/>
      <c r="J8" s="77"/>
      <c r="K8" s="78"/>
      <c r="L8" s="77"/>
      <c r="M8" s="77"/>
      <c r="N8" s="77"/>
      <c r="O8" s="77"/>
      <c r="P8" s="73"/>
      <c r="Q8" s="73"/>
      <c r="R8" s="79"/>
      <c r="S8" s="80"/>
      <c r="T8" s="79"/>
      <c r="U8" s="79"/>
      <c r="V8" s="79"/>
      <c r="W8" s="79"/>
      <c r="X8" s="71"/>
      <c r="Y8" s="80"/>
      <c r="Z8" s="79"/>
      <c r="AA8" s="79"/>
      <c r="AB8" s="73"/>
      <c r="AC8" s="79"/>
      <c r="AD8" s="71"/>
      <c r="AE8" s="80"/>
      <c r="AF8" s="79"/>
      <c r="AG8" s="79"/>
      <c r="AH8" s="79"/>
      <c r="AI8" s="79"/>
      <c r="AJ8" s="71"/>
      <c r="AK8" s="72"/>
      <c r="AL8" s="73"/>
      <c r="AM8" s="74"/>
      <c r="AN8" s="75">
        <v>0.5</v>
      </c>
    </row>
    <row r="9" spans="1:40" ht="15.6" x14ac:dyDescent="0.3">
      <c r="A9" s="29">
        <v>1783</v>
      </c>
      <c r="B9" s="76">
        <v>27.569216000000001</v>
      </c>
      <c r="C9" s="77"/>
      <c r="D9" s="77"/>
      <c r="E9" s="77"/>
      <c r="F9" s="77"/>
      <c r="G9" s="73">
        <v>3.778921440243721E-2</v>
      </c>
      <c r="H9" s="73">
        <v>1.7992639914155006E-2</v>
      </c>
      <c r="I9" s="77"/>
      <c r="J9" s="77"/>
      <c r="K9" s="78"/>
      <c r="L9" s="77"/>
      <c r="M9" s="77"/>
      <c r="N9" s="77"/>
      <c r="O9" s="77"/>
      <c r="P9" s="73"/>
      <c r="Q9" s="73"/>
      <c r="R9" s="79"/>
      <c r="S9" s="80"/>
      <c r="T9" s="79"/>
      <c r="U9" s="79"/>
      <c r="V9" s="79"/>
      <c r="W9" s="79"/>
      <c r="X9" s="71"/>
      <c r="Y9" s="80"/>
      <c r="Z9" s="79"/>
      <c r="AA9" s="79"/>
      <c r="AB9" s="73"/>
      <c r="AC9" s="79"/>
      <c r="AD9" s="71"/>
      <c r="AE9" s="80"/>
      <c r="AF9" s="79"/>
      <c r="AG9" s="79"/>
      <c r="AH9" s="79"/>
      <c r="AI9" s="79"/>
      <c r="AJ9" s="71"/>
      <c r="AK9" s="72"/>
      <c r="AL9" s="73"/>
      <c r="AM9" s="74"/>
      <c r="AN9" s="75">
        <v>0.5</v>
      </c>
    </row>
    <row r="10" spans="1:40" ht="15.6" x14ac:dyDescent="0.3">
      <c r="A10" s="29">
        <v>1784</v>
      </c>
      <c r="B10" s="76">
        <v>27.596782999999999</v>
      </c>
      <c r="C10" s="77"/>
      <c r="D10" s="77"/>
      <c r="E10" s="77"/>
      <c r="F10" s="77"/>
      <c r="G10" s="73">
        <v>3.7789221853017807E-2</v>
      </c>
      <c r="H10" s="73">
        <v>1.7992639914155006E-2</v>
      </c>
      <c r="I10" s="77"/>
      <c r="J10" s="77"/>
      <c r="K10" s="78"/>
      <c r="L10" s="77"/>
      <c r="M10" s="77"/>
      <c r="N10" s="77"/>
      <c r="O10" s="77"/>
      <c r="P10" s="73"/>
      <c r="Q10" s="73"/>
      <c r="R10" s="79"/>
      <c r="S10" s="80"/>
      <c r="T10" s="79"/>
      <c r="U10" s="79"/>
      <c r="V10" s="79"/>
      <c r="W10" s="79"/>
      <c r="X10" s="71"/>
      <c r="Y10" s="80"/>
      <c r="Z10" s="79"/>
      <c r="AA10" s="79"/>
      <c r="AB10" s="73"/>
      <c r="AC10" s="79"/>
      <c r="AD10" s="71"/>
      <c r="AE10" s="80"/>
      <c r="AF10" s="79"/>
      <c r="AG10" s="79"/>
      <c r="AH10" s="79"/>
      <c r="AI10" s="79"/>
      <c r="AJ10" s="71"/>
      <c r="AK10" s="72"/>
      <c r="AL10" s="73"/>
      <c r="AM10" s="74"/>
      <c r="AN10" s="75">
        <v>0.5</v>
      </c>
    </row>
    <row r="11" spans="1:40" ht="15.6" x14ac:dyDescent="0.3">
      <c r="A11" s="29">
        <v>1785</v>
      </c>
      <c r="B11" s="76">
        <v>27.624389000000001</v>
      </c>
      <c r="C11" s="77"/>
      <c r="D11" s="81"/>
      <c r="E11" s="77"/>
      <c r="F11" s="77"/>
      <c r="G11" s="73">
        <v>3.778921440243721E-2</v>
      </c>
      <c r="H11" s="73">
        <v>1.7992651090025902E-2</v>
      </c>
      <c r="I11" s="77"/>
      <c r="J11" s="77"/>
      <c r="K11" s="78"/>
      <c r="L11" s="77"/>
      <c r="M11" s="77"/>
      <c r="N11" s="77"/>
      <c r="O11" s="77"/>
      <c r="P11" s="73"/>
      <c r="Q11" s="73"/>
      <c r="R11" s="79"/>
      <c r="S11" s="80"/>
      <c r="T11" s="79"/>
      <c r="U11" s="79"/>
      <c r="V11" s="79"/>
      <c r="W11" s="79"/>
      <c r="X11" s="71"/>
      <c r="Y11" s="80"/>
      <c r="Z11" s="79"/>
      <c r="AA11" s="79"/>
      <c r="AB11" s="73"/>
      <c r="AC11" s="79"/>
      <c r="AD11" s="71"/>
      <c r="AE11" s="80"/>
      <c r="AF11" s="79"/>
      <c r="AG11" s="79"/>
      <c r="AH11" s="79"/>
      <c r="AI11" s="79"/>
      <c r="AJ11" s="71"/>
      <c r="AK11" s="72"/>
      <c r="AL11" s="73"/>
      <c r="AM11" s="74"/>
      <c r="AN11" s="75">
        <v>0.5</v>
      </c>
    </row>
    <row r="12" spans="1:40" ht="15.6" x14ac:dyDescent="0.3">
      <c r="A12" s="29">
        <v>1786</v>
      </c>
      <c r="B12" s="76">
        <v>27.652009</v>
      </c>
      <c r="C12" s="77"/>
      <c r="D12" s="77"/>
      <c r="E12" s="77"/>
      <c r="F12" s="77"/>
      <c r="G12" s="73">
        <v>3.7789188325405121E-2</v>
      </c>
      <c r="H12" s="73">
        <v>1.7992617562413216E-2</v>
      </c>
      <c r="I12" s="77"/>
      <c r="J12" s="77"/>
      <c r="K12" s="78"/>
      <c r="L12" s="77"/>
      <c r="M12" s="77"/>
      <c r="N12" s="77"/>
      <c r="O12" s="77"/>
      <c r="P12" s="73"/>
      <c r="Q12" s="73"/>
      <c r="R12" s="79"/>
      <c r="S12" s="80"/>
      <c r="T12" s="79"/>
      <c r="U12" s="79"/>
      <c r="V12" s="79"/>
      <c r="W12" s="79"/>
      <c r="X12" s="71"/>
      <c r="Y12" s="80"/>
      <c r="Z12" s="79"/>
      <c r="AA12" s="79"/>
      <c r="AB12" s="73"/>
      <c r="AC12" s="79"/>
      <c r="AD12" s="71"/>
      <c r="AE12" s="80"/>
      <c r="AF12" s="79"/>
      <c r="AG12" s="79"/>
      <c r="AH12" s="79"/>
      <c r="AI12" s="79"/>
      <c r="AJ12" s="71"/>
      <c r="AK12" s="72"/>
      <c r="AL12" s="73"/>
      <c r="AM12" s="74"/>
      <c r="AN12" s="75">
        <v>0.5</v>
      </c>
    </row>
    <row r="13" spans="1:40" ht="15.6" x14ac:dyDescent="0.3">
      <c r="A13" s="29">
        <v>1787</v>
      </c>
      <c r="B13" s="76">
        <v>27.679659000000001</v>
      </c>
      <c r="C13" s="77"/>
      <c r="D13" s="77"/>
      <c r="E13" s="77"/>
      <c r="F13" s="77"/>
      <c r="G13" s="73">
        <v>3.7789192050695419E-2</v>
      </c>
      <c r="H13" s="73">
        <v>1.7992598935961723E-2</v>
      </c>
      <c r="I13" s="77"/>
      <c r="J13" s="77"/>
      <c r="K13" s="78"/>
      <c r="L13" s="77"/>
      <c r="M13" s="77"/>
      <c r="N13" s="77"/>
      <c r="O13" s="77"/>
      <c r="P13" s="73"/>
      <c r="Q13" s="73"/>
      <c r="R13" s="79"/>
      <c r="S13" s="80"/>
      <c r="T13" s="79"/>
      <c r="U13" s="79"/>
      <c r="V13" s="79"/>
      <c r="W13" s="79"/>
      <c r="X13" s="71"/>
      <c r="Y13" s="80"/>
      <c r="Z13" s="79"/>
      <c r="AA13" s="79"/>
      <c r="AB13" s="73"/>
      <c r="AC13" s="79"/>
      <c r="AD13" s="71"/>
      <c r="AE13" s="80"/>
      <c r="AF13" s="79"/>
      <c r="AG13" s="79"/>
      <c r="AH13" s="79"/>
      <c r="AI13" s="79"/>
      <c r="AJ13" s="71"/>
      <c r="AK13" s="72"/>
      <c r="AL13" s="73"/>
      <c r="AM13" s="74"/>
      <c r="AN13" s="75">
        <v>0.5</v>
      </c>
    </row>
    <row r="14" spans="1:40" ht="15.6" x14ac:dyDescent="0.3">
      <c r="A14" s="29">
        <v>1788</v>
      </c>
      <c r="B14" s="76">
        <v>27.707339999999999</v>
      </c>
      <c r="C14" s="77"/>
      <c r="D14" s="77"/>
      <c r="E14" s="77"/>
      <c r="F14" s="77"/>
      <c r="G14" s="73">
        <v>3.7789229303598404E-2</v>
      </c>
      <c r="H14" s="73">
        <v>1.7992632463574409E-2</v>
      </c>
      <c r="I14" s="77"/>
      <c r="J14" s="77"/>
      <c r="K14" s="78"/>
      <c r="L14" s="77"/>
      <c r="M14" s="77"/>
      <c r="N14" s="77"/>
      <c r="O14" s="77"/>
      <c r="P14" s="73"/>
      <c r="Q14" s="73"/>
      <c r="R14" s="79"/>
      <c r="S14" s="80"/>
      <c r="T14" s="79"/>
      <c r="U14" s="79"/>
      <c r="V14" s="79"/>
      <c r="W14" s="79"/>
      <c r="X14" s="71"/>
      <c r="Y14" s="80"/>
      <c r="Z14" s="79"/>
      <c r="AA14" s="79"/>
      <c r="AB14" s="73"/>
      <c r="AC14" s="79"/>
      <c r="AD14" s="71"/>
      <c r="AE14" s="80"/>
      <c r="AF14" s="79"/>
      <c r="AG14" s="79"/>
      <c r="AH14" s="79"/>
      <c r="AI14" s="79"/>
      <c r="AJ14" s="71"/>
      <c r="AK14" s="72"/>
      <c r="AL14" s="73"/>
      <c r="AM14" s="74"/>
      <c r="AN14" s="75">
        <v>0.5</v>
      </c>
    </row>
    <row r="15" spans="1:40" ht="15.6" x14ac:dyDescent="0.3">
      <c r="A15" s="29">
        <v>1789</v>
      </c>
      <c r="B15" s="76">
        <v>27.735050000000001</v>
      </c>
      <c r="C15" s="82">
        <f>D15*B15</f>
        <v>18.136631425455231</v>
      </c>
      <c r="D15" s="73">
        <f t="shared" ref="D15:E36" si="0">D16/((D$97/D$77)^(1/20))</f>
        <v>0.65392459813323689</v>
      </c>
      <c r="E15" s="73">
        <f t="shared" si="0"/>
        <v>0.31712219072336445</v>
      </c>
      <c r="F15" s="73">
        <f t="shared" ref="F15:F36" si="1">F16</f>
        <v>1.0733208619058132E-2</v>
      </c>
      <c r="G15" s="73">
        <v>3.7789188325405121E-2</v>
      </c>
      <c r="H15" s="73">
        <v>1.7992611974477768E-2</v>
      </c>
      <c r="I15" s="82">
        <f>0.7*(1-F15)*(1-(1+0.9*6/18)*(1-D15))*B15*(E15/D15)</f>
        <v>5.1236869689810121</v>
      </c>
      <c r="J15" s="83">
        <f t="shared" ref="J15:J26" si="2">I15/(D15*B15)</f>
        <v>0.28250488466065338</v>
      </c>
      <c r="K15" s="84">
        <f t="shared" ref="K15:K36" si="3">J15*D15/E15</f>
        <v>0.58254167818090641</v>
      </c>
      <c r="L15" s="82">
        <f t="shared" ref="L15:L73" si="4">0.9*I15</f>
        <v>4.6113182720829107</v>
      </c>
      <c r="M15" s="82">
        <f>P15*L15</f>
        <v>1.6139613952290186</v>
      </c>
      <c r="N15" s="77"/>
      <c r="O15" s="73">
        <v>0.9</v>
      </c>
      <c r="P15" s="73">
        <v>0.35</v>
      </c>
      <c r="Q15" s="83">
        <f>P15*O15</f>
        <v>0.315</v>
      </c>
      <c r="R15" s="79"/>
      <c r="S15" s="80"/>
      <c r="T15" s="79"/>
      <c r="U15" s="79"/>
      <c r="V15" s="79"/>
      <c r="W15" s="79"/>
      <c r="X15" s="71"/>
      <c r="Y15" s="80"/>
      <c r="Z15" s="79"/>
      <c r="AA15" s="79"/>
      <c r="AB15" s="73"/>
      <c r="AC15" s="79"/>
      <c r="AD15" s="71"/>
      <c r="AE15" s="80"/>
      <c r="AF15" s="79"/>
      <c r="AG15" s="79"/>
      <c r="AH15" s="79"/>
      <c r="AI15" s="79"/>
      <c r="AJ15" s="71"/>
      <c r="AK15" s="72"/>
      <c r="AL15" s="73"/>
      <c r="AM15" s="74"/>
      <c r="AN15" s="75">
        <v>0.5</v>
      </c>
    </row>
    <row r="16" spans="1:40" ht="15.6" x14ac:dyDescent="0.3">
      <c r="A16" s="29">
        <v>1790</v>
      </c>
      <c r="B16" s="76">
        <v>27.762782000000001</v>
      </c>
      <c r="C16" s="82">
        <f>D16*B16</f>
        <v>18.161602292392526</v>
      </c>
      <c r="D16" s="73">
        <f t="shared" si="0"/>
        <v>0.65417083534324927</v>
      </c>
      <c r="E16" s="73">
        <f t="shared" si="0"/>
        <v>0.31729846620773677</v>
      </c>
      <c r="F16" s="73">
        <f t="shared" si="1"/>
        <v>1.0733208619058132E-2</v>
      </c>
      <c r="G16" s="73">
        <v>3.7789188325405121E-2</v>
      </c>
      <c r="H16" s="73">
        <v>1.7992649227380753E-2</v>
      </c>
      <c r="I16" s="82">
        <f>0.6*(1-F16)*(1-(1+0.9*6/18)*(1-D16))*B16*(E16/D16)</f>
        <v>4.3994694896310529</v>
      </c>
      <c r="J16" s="83">
        <f t="shared" si="2"/>
        <v>0.24224016244832586</v>
      </c>
      <c r="K16" s="84">
        <f t="shared" si="3"/>
        <v>0.49942393770903709</v>
      </c>
      <c r="L16" s="82">
        <f t="shared" si="4"/>
        <v>3.9595225406679475</v>
      </c>
      <c r="M16" s="77"/>
      <c r="N16" s="77"/>
      <c r="O16" s="73"/>
      <c r="P16" s="73"/>
      <c r="Q16" s="73"/>
      <c r="R16" s="79"/>
      <c r="S16" s="80"/>
      <c r="T16" s="79"/>
      <c r="U16" s="79"/>
      <c r="V16" s="79"/>
      <c r="W16" s="79"/>
      <c r="X16" s="71"/>
      <c r="Y16" s="80"/>
      <c r="Z16" s="79"/>
      <c r="AA16" s="79"/>
      <c r="AB16" s="73"/>
      <c r="AC16" s="79"/>
      <c r="AD16" s="71"/>
      <c r="AE16" s="80"/>
      <c r="AF16" s="79"/>
      <c r="AG16" s="79"/>
      <c r="AH16" s="79"/>
      <c r="AI16" s="79"/>
      <c r="AJ16" s="71"/>
      <c r="AK16" s="72"/>
      <c r="AL16" s="73"/>
      <c r="AM16" s="74"/>
      <c r="AN16" s="75">
        <v>0.5</v>
      </c>
    </row>
    <row r="17" spans="1:40" ht="15.6" x14ac:dyDescent="0.3">
      <c r="A17" s="29">
        <v>1791</v>
      </c>
      <c r="B17" s="76">
        <v>27.790548000000001</v>
      </c>
      <c r="C17" s="82">
        <f t="shared" ref="C17:C36" si="5">D17*B17</f>
        <v>18.186611643587689</v>
      </c>
      <c r="D17" s="73">
        <f t="shared" si="0"/>
        <v>0.65441716527459948</v>
      </c>
      <c r="E17" s="73">
        <f t="shared" si="0"/>
        <v>0.31747483967656837</v>
      </c>
      <c r="F17" s="73">
        <f t="shared" si="1"/>
        <v>1.0733208619058132E-2</v>
      </c>
      <c r="G17" s="73">
        <v>3.778921440243721E-2</v>
      </c>
      <c r="H17" s="73">
        <v>1.7992628738284111E-2</v>
      </c>
      <c r="I17" s="82">
        <f>0.6*(1-F17)*(1-(1+0.9*6/18)*(1-D17))*B17*(E17/D17)</f>
        <v>4.4072213932837032</v>
      </c>
      <c r="J17" s="83">
        <f t="shared" si="2"/>
        <v>0.24233328778632712</v>
      </c>
      <c r="K17" s="84">
        <f t="shared" si="3"/>
        <v>0.4995263983954274</v>
      </c>
      <c r="L17" s="82">
        <f t="shared" si="4"/>
        <v>3.966499253955333</v>
      </c>
      <c r="M17" s="82">
        <f t="shared" ref="M17:M24" si="6">P17*L17</f>
        <v>1.1106197911074933</v>
      </c>
      <c r="N17" s="77"/>
      <c r="O17" s="73">
        <v>0.9</v>
      </c>
      <c r="P17" s="73">
        <v>0.28000000000000003</v>
      </c>
      <c r="Q17" s="83">
        <f t="shared" ref="Q17:Q24" si="7">P17*O17</f>
        <v>0.25200000000000006</v>
      </c>
      <c r="R17" s="79"/>
      <c r="S17" s="80"/>
      <c r="T17" s="79"/>
      <c r="U17" s="79"/>
      <c r="V17" s="79"/>
      <c r="W17" s="79"/>
      <c r="X17" s="71"/>
      <c r="Y17" s="80"/>
      <c r="Z17" s="79"/>
      <c r="AA17" s="79"/>
      <c r="AB17" s="73"/>
      <c r="AC17" s="79"/>
      <c r="AD17" s="71"/>
      <c r="AE17" s="80"/>
      <c r="AF17" s="79"/>
      <c r="AG17" s="79"/>
      <c r="AH17" s="79"/>
      <c r="AI17" s="79"/>
      <c r="AJ17" s="71"/>
      <c r="AK17" s="72"/>
      <c r="AL17" s="73"/>
      <c r="AM17" s="74"/>
      <c r="AN17" s="75">
        <v>0.5</v>
      </c>
    </row>
    <row r="18" spans="1:40" ht="15.6" x14ac:dyDescent="0.3">
      <c r="A18" s="29">
        <v>1792</v>
      </c>
      <c r="B18" s="76">
        <v>27.818335999999999</v>
      </c>
      <c r="C18" s="82">
        <f t="shared" si="5"/>
        <v>18.211651656898091</v>
      </c>
      <c r="D18" s="73">
        <f t="shared" si="0"/>
        <v>0.65466358796220203</v>
      </c>
      <c r="E18" s="73">
        <f t="shared" si="0"/>
        <v>0.31765131118432488</v>
      </c>
      <c r="F18" s="73">
        <f t="shared" si="1"/>
        <v>1.0733208619058132E-2</v>
      </c>
      <c r="G18" s="73">
        <v>3.7789210677146912E-2</v>
      </c>
      <c r="H18" s="73">
        <v>1.7992628738284111E-2</v>
      </c>
      <c r="I18" s="82">
        <f>0.8*(1-F18)*(1-(1+0.9*3/18)*(1-D18))*B18*(E18/D18)</f>
        <v>6.4399983060678476</v>
      </c>
      <c r="J18" s="83">
        <f t="shared" si="2"/>
        <v>0.35361967312989684</v>
      </c>
      <c r="K18" s="84">
        <f t="shared" si="3"/>
        <v>0.72879259689535725</v>
      </c>
      <c r="L18" s="82">
        <f>0.85*I18</f>
        <v>5.4739985601576704</v>
      </c>
      <c r="M18" s="82">
        <f t="shared" si="6"/>
        <v>1.3137596544378409</v>
      </c>
      <c r="N18" s="77"/>
      <c r="O18" s="73">
        <v>0.85</v>
      </c>
      <c r="P18" s="73">
        <v>0.24</v>
      </c>
      <c r="Q18" s="83">
        <f t="shared" si="7"/>
        <v>0.20399999999999999</v>
      </c>
      <c r="R18" s="79"/>
      <c r="S18" s="80"/>
      <c r="T18" s="79"/>
      <c r="U18" s="79"/>
      <c r="V18" s="79"/>
      <c r="W18" s="79"/>
      <c r="X18" s="71"/>
      <c r="Y18" s="80"/>
      <c r="Z18" s="79"/>
      <c r="AA18" s="79"/>
      <c r="AB18" s="73"/>
      <c r="AC18" s="79"/>
      <c r="AD18" s="71"/>
      <c r="AE18" s="80"/>
      <c r="AF18" s="79"/>
      <c r="AG18" s="79"/>
      <c r="AH18" s="79"/>
      <c r="AI18" s="79"/>
      <c r="AJ18" s="71"/>
      <c r="AK18" s="72"/>
      <c r="AL18" s="73"/>
      <c r="AM18" s="74"/>
      <c r="AN18" s="75">
        <v>0.5</v>
      </c>
    </row>
    <row r="19" spans="1:40" ht="15.6" x14ac:dyDescent="0.3">
      <c r="A19" s="29">
        <v>1793</v>
      </c>
      <c r="B19" s="76">
        <v>27.846153000000001</v>
      </c>
      <c r="C19" s="82">
        <f t="shared" si="5"/>
        <v>18.236726941663484</v>
      </c>
      <c r="D19" s="73">
        <f t="shared" si="0"/>
        <v>0.65491010344098455</v>
      </c>
      <c r="E19" s="73">
        <f t="shared" si="0"/>
        <v>0.31782788078550223</v>
      </c>
      <c r="F19" s="73">
        <f t="shared" si="1"/>
        <v>1.0733208619058132E-2</v>
      </c>
      <c r="G19" s="73">
        <v>3.7789206951856613E-2</v>
      </c>
      <c r="H19" s="73">
        <v>1.7992611974477768E-2</v>
      </c>
      <c r="I19" s="82">
        <f>0.9*(1-F19)*(1-(1+0.9*3/18)*(1-D19))*B19*(E19/D19)</f>
        <v>7.2569535675444481</v>
      </c>
      <c r="J19" s="83">
        <f t="shared" si="2"/>
        <v>0.3979307027383992</v>
      </c>
      <c r="K19" s="84">
        <f t="shared" si="3"/>
        <v>0.81996845918193717</v>
      </c>
      <c r="L19" s="82">
        <f>0.85*I19</f>
        <v>6.1684105324127811</v>
      </c>
      <c r="M19" s="82">
        <f t="shared" si="6"/>
        <v>2.282311896992729</v>
      </c>
      <c r="N19" s="73"/>
      <c r="O19" s="73">
        <v>0.85</v>
      </c>
      <c r="P19" s="73">
        <v>0.37</v>
      </c>
      <c r="Q19" s="83">
        <f t="shared" si="7"/>
        <v>0.3145</v>
      </c>
      <c r="R19" s="79"/>
      <c r="S19" s="80"/>
      <c r="T19" s="79"/>
      <c r="U19" s="79"/>
      <c r="V19" s="79"/>
      <c r="W19" s="79"/>
      <c r="X19" s="71"/>
      <c r="Y19" s="76">
        <f>L19</f>
        <v>6.1684105324127811</v>
      </c>
      <c r="Z19" s="82">
        <f>AB19*Y19</f>
        <v>2.282311896992729</v>
      </c>
      <c r="AA19" s="79"/>
      <c r="AB19" s="73">
        <f>P19</f>
        <v>0.37</v>
      </c>
      <c r="AC19" s="85">
        <v>0</v>
      </c>
      <c r="AD19" s="86">
        <v>0.99582700393685519</v>
      </c>
      <c r="AE19" s="80"/>
      <c r="AF19" s="79"/>
      <c r="AG19" s="79"/>
      <c r="AH19" s="79"/>
      <c r="AI19" s="79"/>
      <c r="AJ19" s="71"/>
      <c r="AK19" s="72"/>
      <c r="AL19" s="73"/>
      <c r="AM19" s="74"/>
      <c r="AN19" s="75">
        <v>0.5</v>
      </c>
    </row>
    <row r="20" spans="1:40" ht="15.6" x14ac:dyDescent="0.3">
      <c r="A20" s="29">
        <v>1794</v>
      </c>
      <c r="B20" s="76">
        <v>27.874002999999998</v>
      </c>
      <c r="C20" s="82">
        <f t="shared" si="5"/>
        <v>18.261840148675013</v>
      </c>
      <c r="D20" s="73">
        <f t="shared" si="0"/>
        <v>0.65515671174588785</v>
      </c>
      <c r="E20" s="73">
        <f t="shared" si="0"/>
        <v>0.31800454853462662</v>
      </c>
      <c r="F20" s="73">
        <f t="shared" si="1"/>
        <v>1.0733208619058132E-2</v>
      </c>
      <c r="G20" s="73">
        <v>3.7789225578308105E-2</v>
      </c>
      <c r="H20" s="73">
        <v>1.7992643639445305E-2</v>
      </c>
      <c r="I20" s="82">
        <f>0.9*(1-F20)*(1-(1+0.9*3/18)*(1-D20))*B20*(E20/D20)</f>
        <v>7.2689298013270758</v>
      </c>
      <c r="J20" s="83">
        <f t="shared" si="2"/>
        <v>0.3980392853156407</v>
      </c>
      <c r="K20" s="84">
        <f t="shared" si="3"/>
        <v>0.82004521795285901</v>
      </c>
      <c r="L20" s="82">
        <f>0.85*I20</f>
        <v>6.1785903311280146</v>
      </c>
      <c r="M20" s="77"/>
      <c r="N20" s="77"/>
      <c r="O20" s="73"/>
      <c r="P20" s="73"/>
      <c r="Q20" s="73"/>
      <c r="R20" s="79"/>
      <c r="S20" s="80"/>
      <c r="T20" s="79"/>
      <c r="U20" s="79"/>
      <c r="V20" s="79"/>
      <c r="W20" s="79"/>
      <c r="X20" s="71"/>
      <c r="Y20" s="80"/>
      <c r="Z20" s="79"/>
      <c r="AA20" s="79"/>
      <c r="AB20" s="73"/>
      <c r="AC20" s="79"/>
      <c r="AD20" s="71"/>
      <c r="AE20" s="80"/>
      <c r="AF20" s="79"/>
      <c r="AG20" s="79"/>
      <c r="AH20" s="79"/>
      <c r="AI20" s="79"/>
      <c r="AJ20" s="71"/>
      <c r="AK20" s="72"/>
      <c r="AL20" s="73"/>
      <c r="AM20" s="74"/>
      <c r="AN20" s="75">
        <v>0.5</v>
      </c>
    </row>
    <row r="21" spans="1:40" ht="15.6" x14ac:dyDescent="0.3">
      <c r="A21" s="29">
        <v>1795</v>
      </c>
      <c r="B21" s="76">
        <v>27.901871</v>
      </c>
      <c r="C21" s="82">
        <f t="shared" si="5"/>
        <v>18.286981480026615</v>
      </c>
      <c r="D21" s="73">
        <f t="shared" si="0"/>
        <v>0.65540341291186588</v>
      </c>
      <c r="E21" s="73">
        <f t="shared" si="0"/>
        <v>0.31818131448625453</v>
      </c>
      <c r="F21" s="73">
        <f t="shared" si="1"/>
        <v>1.0733208619058132E-2</v>
      </c>
      <c r="G21" s="73">
        <v>3.7789184600114822E-2</v>
      </c>
      <c r="H21" s="73">
        <v>1.7992628738284111E-2</v>
      </c>
      <c r="I21" s="82">
        <f>0.7*(1-F21)*(1-(1+0.9*3/18)*(1-D21))*B21*(E21/D21)</f>
        <v>5.6629400395480394</v>
      </c>
      <c r="J21" s="83">
        <f t="shared" si="2"/>
        <v>0.30967057333837239</v>
      </c>
      <c r="K21" s="84">
        <f t="shared" si="3"/>
        <v>0.63787262609071715</v>
      </c>
      <c r="L21" s="82">
        <f t="shared" si="4"/>
        <v>5.0966460355932357</v>
      </c>
      <c r="M21" s="82">
        <f t="shared" si="6"/>
        <v>1.1212621278305119</v>
      </c>
      <c r="N21" s="73"/>
      <c r="O21" s="73">
        <v>0.9</v>
      </c>
      <c r="P21" s="73">
        <v>0.22</v>
      </c>
      <c r="Q21" s="83">
        <f t="shared" si="7"/>
        <v>0.19800000000000001</v>
      </c>
      <c r="R21" s="79"/>
      <c r="S21" s="80"/>
      <c r="T21" s="79"/>
      <c r="U21" s="79"/>
      <c r="V21" s="79"/>
      <c r="W21" s="79"/>
      <c r="X21" s="71"/>
      <c r="Y21" s="76">
        <f>L21</f>
        <v>5.0966460355932357</v>
      </c>
      <c r="Z21" s="82">
        <f>AB21*Y21</f>
        <v>1.1212621278305119</v>
      </c>
      <c r="AA21" s="79"/>
      <c r="AB21" s="73">
        <f>P21</f>
        <v>0.22</v>
      </c>
      <c r="AC21" s="85">
        <v>0</v>
      </c>
      <c r="AD21" s="86">
        <v>0.99557867591481042</v>
      </c>
      <c r="AE21" s="80"/>
      <c r="AF21" s="79"/>
      <c r="AG21" s="79"/>
      <c r="AH21" s="79"/>
      <c r="AI21" s="79"/>
      <c r="AJ21" s="71"/>
      <c r="AK21" s="72"/>
      <c r="AL21" s="73"/>
      <c r="AM21" s="74"/>
      <c r="AN21" s="75">
        <v>0.5</v>
      </c>
    </row>
    <row r="22" spans="1:40" ht="15.6" x14ac:dyDescent="0.3">
      <c r="A22" s="29">
        <v>1796</v>
      </c>
      <c r="B22" s="76">
        <v>27.929773999999998</v>
      </c>
      <c r="C22" s="82">
        <f t="shared" si="5"/>
        <v>18.312162103833852</v>
      </c>
      <c r="D22" s="73">
        <f t="shared" si="0"/>
        <v>0.65565020697388576</v>
      </c>
      <c r="E22" s="73">
        <f t="shared" si="0"/>
        <v>0.31835817869497274</v>
      </c>
      <c r="F22" s="73">
        <f t="shared" si="1"/>
        <v>1.0733208619058132E-2</v>
      </c>
      <c r="G22" s="73">
        <v>3.7789244204759598E-2</v>
      </c>
      <c r="H22" s="73">
        <v>1.7992626875638962E-2</v>
      </c>
      <c r="I22" s="82">
        <f t="shared" ref="I22:I25" si="8">0.7*(1-F22)*(1-(1+0.9*3/18)*(1-D22))*B22*(E22/D22)</f>
        <v>5.6722846020175313</v>
      </c>
      <c r="J22" s="83">
        <f t="shared" si="2"/>
        <v>0.30975504530019293</v>
      </c>
      <c r="K22" s="84">
        <f t="shared" si="3"/>
        <v>0.63793228242100097</v>
      </c>
      <c r="L22" s="82">
        <f t="shared" si="4"/>
        <v>5.105056141815778</v>
      </c>
      <c r="M22" s="77"/>
      <c r="N22" s="77"/>
      <c r="O22" s="73"/>
      <c r="P22" s="73"/>
      <c r="Q22" s="73"/>
      <c r="R22" s="79"/>
      <c r="S22" s="80"/>
      <c r="T22" s="79"/>
      <c r="U22" s="79"/>
      <c r="V22" s="79"/>
      <c r="W22" s="79"/>
      <c r="X22" s="71"/>
      <c r="Y22" s="80"/>
      <c r="Z22" s="79"/>
      <c r="AA22" s="79"/>
      <c r="AB22" s="73"/>
      <c r="AC22" s="79"/>
      <c r="AD22" s="71"/>
      <c r="AE22" s="80"/>
      <c r="AF22" s="79"/>
      <c r="AG22" s="79"/>
      <c r="AH22" s="79"/>
      <c r="AI22" s="79"/>
      <c r="AJ22" s="71"/>
      <c r="AK22" s="72"/>
      <c r="AL22" s="73"/>
      <c r="AM22" s="74"/>
      <c r="AN22" s="75">
        <v>0.5</v>
      </c>
    </row>
    <row r="23" spans="1:40" ht="15.6" x14ac:dyDescent="0.3">
      <c r="A23" s="29">
        <v>1797</v>
      </c>
      <c r="B23" s="76">
        <v>27.957702999999999</v>
      </c>
      <c r="C23" s="82">
        <f t="shared" si="5"/>
        <v>18.337376151690453</v>
      </c>
      <c r="D23" s="73">
        <f t="shared" si="0"/>
        <v>0.65589709396692764</v>
      </c>
      <c r="E23" s="73">
        <f t="shared" si="0"/>
        <v>0.3185351412153985</v>
      </c>
      <c r="F23" s="73">
        <f t="shared" si="1"/>
        <v>1.0733208619058132E-2</v>
      </c>
      <c r="G23" s="73">
        <v>3.7789229303598404E-2</v>
      </c>
      <c r="H23" s="73">
        <v>1.7992643639445305E-2</v>
      </c>
      <c r="I23" s="82">
        <f t="shared" si="8"/>
        <v>5.6816439475640221</v>
      </c>
      <c r="J23" s="83">
        <f t="shared" si="2"/>
        <v>0.30983952668933246</v>
      </c>
      <c r="K23" s="84">
        <f t="shared" si="3"/>
        <v>0.63799191629597618</v>
      </c>
      <c r="L23" s="82">
        <f t="shared" si="4"/>
        <v>5.11347955280762</v>
      </c>
      <c r="M23" s="82">
        <f t="shared" si="6"/>
        <v>1.278369888201905</v>
      </c>
      <c r="N23" s="77"/>
      <c r="O23" s="73">
        <v>0.9</v>
      </c>
      <c r="P23" s="73">
        <v>0.25</v>
      </c>
      <c r="Q23" s="83">
        <f t="shared" si="7"/>
        <v>0.22500000000000001</v>
      </c>
      <c r="R23" s="79"/>
      <c r="S23" s="80"/>
      <c r="T23" s="79"/>
      <c r="U23" s="79"/>
      <c r="V23" s="79"/>
      <c r="W23" s="79"/>
      <c r="X23" s="71"/>
      <c r="Y23" s="80"/>
      <c r="Z23" s="79"/>
      <c r="AA23" s="79"/>
      <c r="AB23" s="73"/>
      <c r="AC23" s="79"/>
      <c r="AD23" s="71"/>
      <c r="AE23" s="80"/>
      <c r="AF23" s="79"/>
      <c r="AG23" s="79"/>
      <c r="AH23" s="79"/>
      <c r="AI23" s="79"/>
      <c r="AJ23" s="71"/>
      <c r="AK23" s="72"/>
      <c r="AL23" s="73"/>
      <c r="AM23" s="74"/>
      <c r="AN23" s="75">
        <v>0.5</v>
      </c>
    </row>
    <row r="24" spans="1:40" ht="15.6" x14ac:dyDescent="0.3">
      <c r="A24" s="29">
        <v>1798</v>
      </c>
      <c r="B24" s="76">
        <v>27.985665000000001</v>
      </c>
      <c r="C24" s="82">
        <f t="shared" si="5"/>
        <v>18.362628244627853</v>
      </c>
      <c r="D24" s="73">
        <f t="shared" si="0"/>
        <v>0.65614407392598506</v>
      </c>
      <c r="E24" s="73">
        <f t="shared" si="0"/>
        <v>0.31871220210217927</v>
      </c>
      <c r="F24" s="73">
        <f t="shared" si="1"/>
        <v>1.0733208619058132E-2</v>
      </c>
      <c r="G24" s="73">
        <v>3.7789240479469299E-2</v>
      </c>
      <c r="H24" s="73">
        <v>1.7992639914155006E-2</v>
      </c>
      <c r="I24" s="82">
        <f t="shared" si="8"/>
        <v>5.6910195175920881</v>
      </c>
      <c r="J24" s="83">
        <f t="shared" si="2"/>
        <v>0.30992401750860721</v>
      </c>
      <c r="K24" s="84">
        <f t="shared" si="3"/>
        <v>0.63805152772409457</v>
      </c>
      <c r="L24" s="82">
        <f t="shared" si="4"/>
        <v>5.121917565832879</v>
      </c>
      <c r="M24" s="82">
        <f t="shared" si="6"/>
        <v>1.0756026888249046</v>
      </c>
      <c r="N24" s="77"/>
      <c r="O24" s="73">
        <v>0.9</v>
      </c>
      <c r="P24" s="73">
        <v>0.21</v>
      </c>
      <c r="Q24" s="83">
        <f t="shared" si="7"/>
        <v>0.189</v>
      </c>
      <c r="R24" s="79"/>
      <c r="S24" s="80"/>
      <c r="T24" s="79"/>
      <c r="U24" s="79"/>
      <c r="V24" s="79"/>
      <c r="W24" s="79"/>
      <c r="X24" s="71"/>
      <c r="Y24" s="80"/>
      <c r="Z24" s="79"/>
      <c r="AA24" s="79"/>
      <c r="AB24" s="73"/>
      <c r="AC24" s="79"/>
      <c r="AD24" s="71"/>
      <c r="AE24" s="80"/>
      <c r="AF24" s="79"/>
      <c r="AG24" s="79"/>
      <c r="AH24" s="79"/>
      <c r="AI24" s="79"/>
      <c r="AJ24" s="71"/>
      <c r="AK24" s="72"/>
      <c r="AL24" s="73"/>
      <c r="AM24" s="74"/>
      <c r="AN24" s="75">
        <v>0.5</v>
      </c>
    </row>
    <row r="25" spans="1:40" ht="15.6" x14ac:dyDescent="0.3">
      <c r="A25" s="29">
        <v>1799</v>
      </c>
      <c r="B25" s="76">
        <v>28.013649000000001</v>
      </c>
      <c r="C25" s="82">
        <f t="shared" si="5"/>
        <v>18.387911195573661</v>
      </c>
      <c r="D25" s="73">
        <f t="shared" si="0"/>
        <v>0.6563911468860647</v>
      </c>
      <c r="E25" s="73">
        <f t="shared" si="0"/>
        <v>0.31888936140999297</v>
      </c>
      <c r="F25" s="73">
        <f t="shared" si="1"/>
        <v>1.0733208619058132E-2</v>
      </c>
      <c r="G25" s="73">
        <v>3.7789221853017807E-2</v>
      </c>
      <c r="H25" s="73">
        <v>1.7992658540606499E-2</v>
      </c>
      <c r="I25" s="82">
        <f t="shared" si="8"/>
        <v>5.7004090944576378</v>
      </c>
      <c r="J25" s="83">
        <f t="shared" si="2"/>
        <v>0.3100085177608341</v>
      </c>
      <c r="K25" s="84">
        <f t="shared" si="3"/>
        <v>0.63811111671380527</v>
      </c>
      <c r="L25" s="82">
        <f t="shared" si="4"/>
        <v>5.1303681850118741</v>
      </c>
      <c r="M25" s="77"/>
      <c r="N25" s="77"/>
      <c r="O25" s="77"/>
      <c r="P25" s="73"/>
      <c r="Q25" s="73"/>
      <c r="R25" s="79"/>
      <c r="S25" s="80"/>
      <c r="T25" s="79"/>
      <c r="U25" s="79"/>
      <c r="V25" s="79"/>
      <c r="W25" s="79"/>
      <c r="X25" s="71"/>
      <c r="Y25" s="80"/>
      <c r="Z25" s="79"/>
      <c r="AA25" s="79"/>
      <c r="AB25" s="73"/>
      <c r="AC25" s="79"/>
      <c r="AD25" s="71"/>
      <c r="AE25" s="80"/>
      <c r="AF25" s="79"/>
      <c r="AG25" s="79"/>
      <c r="AH25" s="79"/>
      <c r="AI25" s="79"/>
      <c r="AJ25" s="71"/>
      <c r="AK25" s="72"/>
      <c r="AL25" s="73"/>
      <c r="AM25" s="74"/>
      <c r="AN25" s="75">
        <v>0.5</v>
      </c>
    </row>
    <row r="26" spans="1:40" ht="15.6" x14ac:dyDescent="0.3">
      <c r="A26" s="29">
        <v>1800</v>
      </c>
      <c r="B26" s="76">
        <v>28.041664000000001</v>
      </c>
      <c r="C26" s="82">
        <f t="shared" si="5"/>
        <v>18.413230939369139</v>
      </c>
      <c r="D26" s="73">
        <f t="shared" si="0"/>
        <v>0.65663831288218633</v>
      </c>
      <c r="E26" s="73">
        <f t="shared" si="0"/>
        <v>0.31906661919354795</v>
      </c>
      <c r="F26" s="73">
        <f t="shared" si="1"/>
        <v>1.0733208619058132E-2</v>
      </c>
      <c r="G26" s="73">
        <v>3.7789199501276016E-2</v>
      </c>
      <c r="H26" s="73">
        <v>1.7992619425058365E-2</v>
      </c>
      <c r="I26" s="82">
        <f>0.85*(1-F26)*(1-(1+0.9*3/18)*(1-D26))*B26*(E26/D26)</f>
        <v>6.9333462114827649</v>
      </c>
      <c r="J26" s="83">
        <f t="shared" si="2"/>
        <v>0.37654153333072299</v>
      </c>
      <c r="K26" s="84">
        <f t="shared" si="3"/>
        <v>0.7749215439750311</v>
      </c>
      <c r="L26" s="82">
        <f t="shared" si="4"/>
        <v>6.2400115903344888</v>
      </c>
      <c r="M26" s="77"/>
      <c r="N26" s="77"/>
      <c r="O26" s="77"/>
      <c r="P26" s="73"/>
      <c r="Q26" s="73"/>
      <c r="R26" s="79"/>
      <c r="S26" s="80"/>
      <c r="T26" s="79"/>
      <c r="U26" s="79"/>
      <c r="V26" s="79"/>
      <c r="W26" s="79"/>
      <c r="X26" s="71"/>
      <c r="Y26" s="76">
        <f>L26</f>
        <v>6.2400115903344888</v>
      </c>
      <c r="Z26" s="82">
        <f>AB26*Y26</f>
        <v>1.3104024339702427</v>
      </c>
      <c r="AA26" s="79"/>
      <c r="AB26" s="73">
        <v>0.21</v>
      </c>
      <c r="AC26" s="73">
        <v>0</v>
      </c>
      <c r="AD26" s="74">
        <v>0.999</v>
      </c>
      <c r="AE26" s="80"/>
      <c r="AF26" s="79"/>
      <c r="AG26" s="79"/>
      <c r="AH26" s="79"/>
      <c r="AI26" s="79"/>
      <c r="AJ26" s="71"/>
      <c r="AK26" s="72"/>
      <c r="AL26" s="73"/>
      <c r="AM26" s="74"/>
      <c r="AN26" s="75">
        <v>0.5</v>
      </c>
    </row>
    <row r="27" spans="1:40" ht="15.6" x14ac:dyDescent="0.3">
      <c r="A27" s="29">
        <v>1801</v>
      </c>
      <c r="B27" s="76">
        <v>28.069704000000002</v>
      </c>
      <c r="C27" s="82">
        <f t="shared" si="5"/>
        <v>18.438583566489882</v>
      </c>
      <c r="D27" s="73">
        <f t="shared" si="0"/>
        <v>0.65688557194938291</v>
      </c>
      <c r="E27" s="73">
        <f t="shared" si="0"/>
        <v>0.31924397550758288</v>
      </c>
      <c r="F27" s="73">
        <f t="shared" si="1"/>
        <v>1.0733208619058132E-2</v>
      </c>
      <c r="G27" s="73">
        <v>3.7789210677146912E-2</v>
      </c>
      <c r="H27" s="73">
        <v>1.7992638051509857E-2</v>
      </c>
      <c r="I27" s="82">
        <f t="shared" ref="I27:I36" si="9">0.85*(1-F27)*(1-(1+0.9*3/18)*(1-D27))*B27*(E27/D27)</f>
        <v>6.9447848871894902</v>
      </c>
      <c r="J27" s="83">
        <f>I27/(D27*B27)</f>
        <v>0.37664416369871712</v>
      </c>
      <c r="K27" s="84">
        <f t="shared" si="3"/>
        <v>0.7749938475714544</v>
      </c>
      <c r="L27" s="82">
        <f t="shared" si="4"/>
        <v>6.2503063984705411</v>
      </c>
      <c r="M27" s="77"/>
      <c r="N27" s="77"/>
      <c r="O27" s="77"/>
      <c r="P27" s="73"/>
      <c r="Q27" s="73"/>
      <c r="R27" s="79"/>
      <c r="S27" s="80"/>
      <c r="T27" s="79"/>
      <c r="U27" s="79"/>
      <c r="V27" s="79"/>
      <c r="W27" s="79"/>
      <c r="X27" s="71"/>
      <c r="Y27" s="80"/>
      <c r="Z27" s="79"/>
      <c r="AA27" s="79"/>
      <c r="AB27" s="73"/>
      <c r="AC27" s="79"/>
      <c r="AD27" s="71"/>
      <c r="AE27" s="80"/>
      <c r="AF27" s="79"/>
      <c r="AG27" s="79"/>
      <c r="AH27" s="79"/>
      <c r="AI27" s="79"/>
      <c r="AJ27" s="71"/>
      <c r="AK27" s="72"/>
      <c r="AL27" s="73"/>
      <c r="AM27" s="74"/>
      <c r="AN27" s="75">
        <v>0.5</v>
      </c>
    </row>
    <row r="28" spans="1:40" ht="15.6" x14ac:dyDescent="0.3">
      <c r="A28" s="29">
        <v>1802</v>
      </c>
      <c r="B28" s="76">
        <v>28.234999999999999</v>
      </c>
      <c r="C28" s="82">
        <f t="shared" si="5"/>
        <v>18.554148112604452</v>
      </c>
      <c r="D28" s="73">
        <f t="shared" si="0"/>
        <v>0.65713292412270063</v>
      </c>
      <c r="E28" s="73">
        <f t="shared" si="0"/>
        <v>0.31942143040686688</v>
      </c>
      <c r="F28" s="73">
        <f t="shared" si="1"/>
        <v>1.0733208619058132E-2</v>
      </c>
      <c r="G28" s="73">
        <v>3.8262654095888138E-2</v>
      </c>
      <c r="H28" s="73">
        <v>1.801055483520031E-2</v>
      </c>
      <c r="I28" s="82">
        <f t="shared" si="9"/>
        <v>6.9902160307778489</v>
      </c>
      <c r="J28" s="83">
        <f t="shared" ref="J28:J36" si="10">I28/(D28*B28)</f>
        <v>0.37674680553127426</v>
      </c>
      <c r="K28" s="84">
        <f t="shared" si="3"/>
        <v>0.77506612395199648</v>
      </c>
      <c r="L28" s="82">
        <f t="shared" si="4"/>
        <v>6.2911944277000638</v>
      </c>
      <c r="M28" s="77"/>
      <c r="N28" s="77"/>
      <c r="O28" s="77"/>
      <c r="P28" s="73"/>
      <c r="Q28" s="73"/>
      <c r="R28" s="79"/>
      <c r="S28" s="80"/>
      <c r="T28" s="79"/>
      <c r="U28" s="79"/>
      <c r="V28" s="79"/>
      <c r="W28" s="79"/>
      <c r="X28" s="71"/>
      <c r="Y28" s="80"/>
      <c r="Z28" s="79"/>
      <c r="AA28" s="79"/>
      <c r="AB28" s="73"/>
      <c r="AC28" s="79"/>
      <c r="AD28" s="71"/>
      <c r="AE28" s="80"/>
      <c r="AF28" s="79"/>
      <c r="AG28" s="79"/>
      <c r="AH28" s="79"/>
      <c r="AI28" s="79"/>
      <c r="AJ28" s="71"/>
      <c r="AK28" s="72"/>
      <c r="AL28" s="73"/>
      <c r="AM28" s="74"/>
      <c r="AN28" s="75">
        <v>0.5</v>
      </c>
    </row>
    <row r="29" spans="1:40" ht="15.6" x14ac:dyDescent="0.3">
      <c r="A29" s="29">
        <v>1803</v>
      </c>
      <c r="B29" s="76">
        <v>28.400289000000001</v>
      </c>
      <c r="C29" s="82">
        <f t="shared" si="5"/>
        <v>18.669792474943218</v>
      </c>
      <c r="D29" s="73">
        <f t="shared" si="0"/>
        <v>0.65738036943719891</v>
      </c>
      <c r="E29" s="73">
        <f t="shared" si="0"/>
        <v>0.31959898394619957</v>
      </c>
      <c r="F29" s="73">
        <f t="shared" si="1"/>
        <v>1.0733208619058132E-2</v>
      </c>
      <c r="G29" s="73">
        <v>3.8730591535568237E-2</v>
      </c>
      <c r="H29" s="73">
        <v>1.8028266727924347E-2</v>
      </c>
      <c r="I29" s="82">
        <f t="shared" si="9"/>
        <v>7.0357011906846667</v>
      </c>
      <c r="J29" s="83">
        <f t="shared" si="10"/>
        <v>0.37684945883181625</v>
      </c>
      <c r="K29" s="84">
        <f t="shared" si="3"/>
        <v>0.77513837312690148</v>
      </c>
      <c r="L29" s="82">
        <f t="shared" si="4"/>
        <v>6.3321310716162005</v>
      </c>
      <c r="M29" s="77"/>
      <c r="N29" s="77"/>
      <c r="O29" s="77"/>
      <c r="P29" s="73"/>
      <c r="Q29" s="73"/>
      <c r="R29" s="79"/>
      <c r="S29" s="80"/>
      <c r="T29" s="79"/>
      <c r="U29" s="79"/>
      <c r="V29" s="79"/>
      <c r="W29" s="79"/>
      <c r="X29" s="71"/>
      <c r="Y29" s="80"/>
      <c r="Z29" s="79"/>
      <c r="AA29" s="79"/>
      <c r="AB29" s="73"/>
      <c r="AC29" s="79"/>
      <c r="AD29" s="71"/>
      <c r="AE29" s="80"/>
      <c r="AF29" s="79"/>
      <c r="AG29" s="79"/>
      <c r="AH29" s="79"/>
      <c r="AI29" s="79"/>
      <c r="AJ29" s="71"/>
      <c r="AK29" s="72"/>
      <c r="AL29" s="73"/>
      <c r="AM29" s="74"/>
      <c r="AN29" s="75">
        <v>0.5</v>
      </c>
    </row>
    <row r="30" spans="1:40" ht="15.6" x14ac:dyDescent="0.3">
      <c r="A30" s="29">
        <v>1804</v>
      </c>
      <c r="B30" s="76">
        <v>28.565581999999999</v>
      </c>
      <c r="C30" s="82">
        <f t="shared" si="5"/>
        <v>18.785523929404313</v>
      </c>
      <c r="D30" s="73">
        <f t="shared" si="0"/>
        <v>0.65762790792795023</v>
      </c>
      <c r="E30" s="73">
        <f t="shared" si="0"/>
        <v>0.31977663618041091</v>
      </c>
      <c r="F30" s="73">
        <f t="shared" si="1"/>
        <v>1.0733208619058132E-2</v>
      </c>
      <c r="G30" s="73">
        <v>3.9193004369735718E-2</v>
      </c>
      <c r="H30" s="73">
        <v>1.8045807257294655E-2</v>
      </c>
      <c r="I30" s="82">
        <f t="shared" si="9"/>
        <v>7.0812431381983059</v>
      </c>
      <c r="J30" s="83">
        <f t="shared" si="10"/>
        <v>0.37695212360376534</v>
      </c>
      <c r="K30" s="84">
        <f t="shared" si="3"/>
        <v>0.77521059510640999</v>
      </c>
      <c r="L30" s="82">
        <f t="shared" si="4"/>
        <v>6.3731188243784755</v>
      </c>
      <c r="M30" s="77"/>
      <c r="N30" s="77"/>
      <c r="O30" s="77"/>
      <c r="P30" s="73"/>
      <c r="Q30" s="73"/>
      <c r="R30" s="79"/>
      <c r="S30" s="80"/>
      <c r="T30" s="79"/>
      <c r="U30" s="79"/>
      <c r="V30" s="79"/>
      <c r="W30" s="79"/>
      <c r="X30" s="71"/>
      <c r="Y30" s="76">
        <f>L30</f>
        <v>6.3731188243784755</v>
      </c>
      <c r="Z30" s="82">
        <f>AB30*Y30</f>
        <v>2.6767099062389597</v>
      </c>
      <c r="AA30" s="79"/>
      <c r="AB30" s="73">
        <v>0.42</v>
      </c>
      <c r="AC30" s="73">
        <v>0</v>
      </c>
      <c r="AD30" s="74">
        <v>0.999</v>
      </c>
      <c r="AE30" s="80"/>
      <c r="AF30" s="79"/>
      <c r="AG30" s="79"/>
      <c r="AH30" s="79"/>
      <c r="AI30" s="79"/>
      <c r="AJ30" s="71"/>
      <c r="AK30" s="72"/>
      <c r="AL30" s="73"/>
      <c r="AM30" s="74"/>
      <c r="AN30" s="75">
        <v>0.5</v>
      </c>
    </row>
    <row r="31" spans="1:40" ht="15.6" x14ac:dyDescent="0.3">
      <c r="A31" s="29">
        <v>1805</v>
      </c>
      <c r="B31" s="76">
        <v>28.730869999999999</v>
      </c>
      <c r="C31" s="82">
        <f t="shared" si="5"/>
        <v>18.901336605290542</v>
      </c>
      <c r="D31" s="73">
        <f t="shared" si="0"/>
        <v>0.65787553963004053</v>
      </c>
      <c r="E31" s="73">
        <f t="shared" si="0"/>
        <v>0.31995438716436153</v>
      </c>
      <c r="F31" s="73">
        <f t="shared" si="1"/>
        <v>1.0733208619058132E-2</v>
      </c>
      <c r="G31" s="73">
        <v>3.9650209248065948E-2</v>
      </c>
      <c r="H31" s="73">
        <v>1.8063114956021309E-2</v>
      </c>
      <c r="I31" s="82">
        <f t="shared" si="9"/>
        <v>7.1268396906155909</v>
      </c>
      <c r="J31" s="83">
        <f t="shared" si="10"/>
        <v>0.37705479985054424</v>
      </c>
      <c r="K31" s="84">
        <f t="shared" si="3"/>
        <v>0.77528278990075872</v>
      </c>
      <c r="L31" s="82">
        <f t="shared" si="4"/>
        <v>6.4141557215540317</v>
      </c>
      <c r="M31" s="77"/>
      <c r="N31" s="77"/>
      <c r="O31" s="77"/>
      <c r="P31" s="73"/>
      <c r="Q31" s="73"/>
      <c r="R31" s="79"/>
      <c r="S31" s="80"/>
      <c r="T31" s="79"/>
      <c r="U31" s="79"/>
      <c r="V31" s="79"/>
      <c r="W31" s="79"/>
      <c r="X31" s="71"/>
      <c r="Y31" s="80"/>
      <c r="Z31" s="79"/>
      <c r="AA31" s="79"/>
      <c r="AB31" s="73"/>
      <c r="AC31" s="79"/>
      <c r="AD31" s="71"/>
      <c r="AE31" s="80"/>
      <c r="AF31" s="79"/>
      <c r="AG31" s="79"/>
      <c r="AH31" s="79"/>
      <c r="AI31" s="79"/>
      <c r="AJ31" s="71"/>
      <c r="AK31" s="72"/>
      <c r="AL31" s="73"/>
      <c r="AM31" s="74"/>
      <c r="AN31" s="75">
        <v>0.5</v>
      </c>
    </row>
    <row r="32" spans="1:40" ht="15.6" x14ac:dyDescent="0.3">
      <c r="A32" s="29">
        <v>1806</v>
      </c>
      <c r="B32" s="76">
        <v>28.896184000000002</v>
      </c>
      <c r="C32" s="82">
        <f t="shared" si="5"/>
        <v>19.017250947943005</v>
      </c>
      <c r="D32" s="73">
        <f t="shared" si="0"/>
        <v>0.65812326457856873</v>
      </c>
      <c r="E32" s="73">
        <f t="shared" si="0"/>
        <v>0.32013223695294235</v>
      </c>
      <c r="F32" s="73">
        <f t="shared" si="1"/>
        <v>1.0733208619058132E-2</v>
      </c>
      <c r="G32" s="73">
        <v>4.0102146565914154E-2</v>
      </c>
      <c r="H32" s="73">
        <v>1.8080241978168488E-2</v>
      </c>
      <c r="I32" s="82">
        <f t="shared" si="9"/>
        <v>7.1724985881204208</v>
      </c>
      <c r="J32" s="83">
        <f t="shared" si="10"/>
        <v>0.37715748757557582</v>
      </c>
      <c r="K32" s="84">
        <f t="shared" si="3"/>
        <v>0.77535495752018035</v>
      </c>
      <c r="L32" s="82">
        <f t="shared" si="4"/>
        <v>6.4552487293083791</v>
      </c>
      <c r="M32" s="77"/>
      <c r="N32" s="77"/>
      <c r="O32" s="77"/>
      <c r="P32" s="73"/>
      <c r="Q32" s="73"/>
      <c r="R32" s="79"/>
      <c r="S32" s="80"/>
      <c r="T32" s="79"/>
      <c r="U32" s="79"/>
      <c r="V32" s="79"/>
      <c r="W32" s="79"/>
      <c r="X32" s="71"/>
      <c r="Y32" s="80"/>
      <c r="Z32" s="79"/>
      <c r="AA32" s="79"/>
      <c r="AB32" s="73"/>
      <c r="AC32" s="79"/>
      <c r="AD32" s="71"/>
      <c r="AE32" s="80"/>
      <c r="AF32" s="79"/>
      <c r="AG32" s="79"/>
      <c r="AH32" s="79"/>
      <c r="AI32" s="79"/>
      <c r="AJ32" s="71"/>
      <c r="AK32" s="72"/>
      <c r="AL32" s="73"/>
      <c r="AM32" s="74"/>
      <c r="AN32" s="75">
        <v>0.5</v>
      </c>
    </row>
    <row r="33" spans="1:40" ht="15.6" x14ac:dyDescent="0.3">
      <c r="A33" s="29">
        <v>1807</v>
      </c>
      <c r="B33" s="76">
        <v>29.061444999999999</v>
      </c>
      <c r="C33" s="82">
        <f t="shared" si="5"/>
        <v>19.13321501263394</v>
      </c>
      <c r="D33" s="73">
        <f t="shared" si="0"/>
        <v>0.65837108280864698</v>
      </c>
      <c r="E33" s="73">
        <f t="shared" si="0"/>
        <v>0.32031018560107494</v>
      </c>
      <c r="F33" s="73">
        <f t="shared" si="1"/>
        <v>1.0733208619058132E-2</v>
      </c>
      <c r="G33" s="73">
        <v>4.0549017488956451E-2</v>
      </c>
      <c r="H33" s="73">
        <v>1.8097138032317162E-2</v>
      </c>
      <c r="I33" s="82">
        <f t="shared" si="9"/>
        <v>7.2182002694118665</v>
      </c>
      <c r="J33" s="83">
        <f t="shared" si="10"/>
        <v>0.37726018678228329</v>
      </c>
      <c r="K33" s="84">
        <f t="shared" si="3"/>
        <v>0.7754270979749035</v>
      </c>
      <c r="L33" s="82">
        <f t="shared" si="4"/>
        <v>6.4963802424706802</v>
      </c>
      <c r="M33" s="77"/>
      <c r="N33" s="77"/>
      <c r="O33" s="77"/>
      <c r="P33" s="73"/>
      <c r="Q33" s="73"/>
      <c r="R33" s="79"/>
      <c r="S33" s="80"/>
      <c r="T33" s="79"/>
      <c r="U33" s="79"/>
      <c r="V33" s="79"/>
      <c r="W33" s="79"/>
      <c r="X33" s="71"/>
      <c r="Y33" s="80"/>
      <c r="Z33" s="79"/>
      <c r="AA33" s="79"/>
      <c r="AB33" s="73"/>
      <c r="AC33" s="79"/>
      <c r="AD33" s="71"/>
      <c r="AE33" s="80"/>
      <c r="AF33" s="79"/>
      <c r="AG33" s="79"/>
      <c r="AH33" s="79"/>
      <c r="AI33" s="79"/>
      <c r="AJ33" s="71"/>
      <c r="AK33" s="72"/>
      <c r="AL33" s="73"/>
      <c r="AM33" s="74"/>
      <c r="AN33" s="75">
        <v>0.5</v>
      </c>
    </row>
    <row r="34" spans="1:40" ht="15.6" x14ac:dyDescent="0.3">
      <c r="A34" s="29">
        <v>1808</v>
      </c>
      <c r="B34" s="76">
        <v>29.226745000000001</v>
      </c>
      <c r="C34" s="82">
        <f t="shared" si="5"/>
        <v>19.249289400181741</v>
      </c>
      <c r="D34" s="73">
        <f t="shared" si="0"/>
        <v>0.65861899435540083</v>
      </c>
      <c r="E34" s="73">
        <f t="shared" si="0"/>
        <v>0.32048823316371133</v>
      </c>
      <c r="F34" s="73">
        <f t="shared" si="1"/>
        <v>1.0733208619058132E-2</v>
      </c>
      <c r="G34" s="73">
        <v>4.0990777313709259E-2</v>
      </c>
      <c r="H34" s="73">
        <v>1.811385340988636E-2</v>
      </c>
      <c r="I34" s="82">
        <f t="shared" si="9"/>
        <v>7.2639676223698828</v>
      </c>
      <c r="J34" s="83">
        <f t="shared" si="10"/>
        <v>0.37736289747409069</v>
      </c>
      <c r="K34" s="84">
        <f t="shared" si="3"/>
        <v>0.7754992112751542</v>
      </c>
      <c r="L34" s="82">
        <f t="shared" si="4"/>
        <v>6.5375708601328943</v>
      </c>
      <c r="M34" s="77"/>
      <c r="N34" s="77"/>
      <c r="O34" s="77"/>
      <c r="P34" s="73"/>
      <c r="Q34" s="73"/>
      <c r="R34" s="79"/>
      <c r="S34" s="80"/>
      <c r="T34" s="79"/>
      <c r="U34" s="79"/>
      <c r="V34" s="79"/>
      <c r="W34" s="79"/>
      <c r="X34" s="71"/>
      <c r="Y34" s="80"/>
      <c r="Z34" s="79"/>
      <c r="AA34" s="79"/>
      <c r="AB34" s="73"/>
      <c r="AC34" s="79"/>
      <c r="AD34" s="71"/>
      <c r="AE34" s="80"/>
      <c r="AF34" s="79"/>
      <c r="AG34" s="79"/>
      <c r="AH34" s="79"/>
      <c r="AI34" s="79"/>
      <c r="AJ34" s="71"/>
      <c r="AK34" s="72"/>
      <c r="AL34" s="73"/>
      <c r="AM34" s="74"/>
      <c r="AN34" s="75">
        <v>0.5</v>
      </c>
    </row>
    <row r="35" spans="1:40" ht="15.6" x14ac:dyDescent="0.3">
      <c r="A35" s="29">
        <v>1809</v>
      </c>
      <c r="B35" s="76">
        <v>29.392026000000001</v>
      </c>
      <c r="C35" s="82">
        <f t="shared" si="5"/>
        <v>19.365435972614637</v>
      </c>
      <c r="D35" s="73">
        <f t="shared" si="0"/>
        <v>0.65886699925396897</v>
      </c>
      <c r="E35" s="73">
        <f t="shared" si="0"/>
        <v>0.32066637969583417</v>
      </c>
      <c r="F35" s="73">
        <f t="shared" si="1"/>
        <v>1.0733208619058132E-2</v>
      </c>
      <c r="G35" s="73">
        <v>4.1427493095397949E-2</v>
      </c>
      <c r="H35" s="73">
        <v>1.8130427226424217E-2</v>
      </c>
      <c r="I35" s="82">
        <f t="shared" si="9"/>
        <v>7.3097862892810106</v>
      </c>
      <c r="J35" s="83">
        <f t="shared" si="10"/>
        <v>0.3774656196544216</v>
      </c>
      <c r="K35" s="84">
        <f t="shared" si="3"/>
        <v>0.77557129743115261</v>
      </c>
      <c r="L35" s="82">
        <f t="shared" si="4"/>
        <v>6.5788076603529095</v>
      </c>
      <c r="M35" s="77"/>
      <c r="N35" s="77"/>
      <c r="O35" s="77"/>
      <c r="P35" s="73"/>
      <c r="Q35" s="73"/>
      <c r="R35" s="79"/>
      <c r="S35" s="80"/>
      <c r="T35" s="79"/>
      <c r="U35" s="79"/>
      <c r="V35" s="79"/>
      <c r="W35" s="79"/>
      <c r="X35" s="71"/>
      <c r="Y35" s="80"/>
      <c r="Z35" s="79"/>
      <c r="AA35" s="79"/>
      <c r="AB35" s="73"/>
      <c r="AC35" s="79"/>
      <c r="AD35" s="71"/>
      <c r="AE35" s="80"/>
      <c r="AF35" s="79"/>
      <c r="AG35" s="79"/>
      <c r="AH35" s="79"/>
      <c r="AI35" s="79"/>
      <c r="AJ35" s="71"/>
      <c r="AK35" s="72"/>
      <c r="AL35" s="73"/>
      <c r="AM35" s="74"/>
      <c r="AN35" s="75">
        <v>0.5</v>
      </c>
    </row>
    <row r="36" spans="1:40" ht="15.6" x14ac:dyDescent="0.3">
      <c r="A36" s="29">
        <v>1810</v>
      </c>
      <c r="B36" s="76">
        <v>29.557327000000001</v>
      </c>
      <c r="C36" s="82">
        <f t="shared" si="5"/>
        <v>19.481680468611991</v>
      </c>
      <c r="D36" s="73">
        <f t="shared" si="0"/>
        <v>0.65911509753950315</v>
      </c>
      <c r="E36" s="73">
        <f t="shared" si="0"/>
        <v>0.32084462525245655</v>
      </c>
      <c r="F36" s="73">
        <f t="shared" si="1"/>
        <v>1.0733208619058132E-2</v>
      </c>
      <c r="G36" s="73">
        <v>4.1859399527311325E-2</v>
      </c>
      <c r="H36" s="73">
        <v>1.814677007496357E-2</v>
      </c>
      <c r="I36" s="82">
        <f t="shared" si="9"/>
        <v>7.355666014570776</v>
      </c>
      <c r="J36" s="83">
        <f t="shared" si="10"/>
        <v>0.37756835332670069</v>
      </c>
      <c r="K36" s="84">
        <f t="shared" si="3"/>
        <v>0.77564335645311711</v>
      </c>
      <c r="L36" s="82">
        <f t="shared" si="4"/>
        <v>6.6200994131136985</v>
      </c>
      <c r="M36" s="77"/>
      <c r="N36" s="77"/>
      <c r="O36" s="77"/>
      <c r="P36" s="73"/>
      <c r="Q36" s="73"/>
      <c r="R36" s="79"/>
      <c r="S36" s="80"/>
      <c r="T36" s="79"/>
      <c r="U36" s="79"/>
      <c r="V36" s="79"/>
      <c r="W36" s="79"/>
      <c r="X36" s="71"/>
      <c r="Y36" s="80"/>
      <c r="Z36" s="79"/>
      <c r="AA36" s="79"/>
      <c r="AB36" s="73"/>
      <c r="AC36" s="79"/>
      <c r="AD36" s="71"/>
      <c r="AE36" s="80"/>
      <c r="AF36" s="79"/>
      <c r="AG36" s="79"/>
      <c r="AH36" s="79"/>
      <c r="AI36" s="79"/>
      <c r="AJ36" s="71"/>
      <c r="AK36" s="72"/>
      <c r="AL36" s="73"/>
      <c r="AM36" s="74"/>
      <c r="AN36" s="75">
        <v>0.5</v>
      </c>
    </row>
    <row r="37" spans="1:40" ht="15.6" x14ac:dyDescent="0.3">
      <c r="A37" s="29">
        <v>1811</v>
      </c>
      <c r="B37" s="76">
        <v>29.722611000000001</v>
      </c>
      <c r="C37" s="82">
        <f t="shared" ref="C37:C80" si="11">D37*B37</f>
        <v>19.597998553974076</v>
      </c>
      <c r="D37" s="73">
        <f t="shared" ref="D37:E75" si="12">D38/((D$97/D$77)^(1/20))</f>
        <v>0.65936328924716858</v>
      </c>
      <c r="E37" s="73">
        <f t="shared" si="12"/>
        <v>0.32102296988862222</v>
      </c>
      <c r="F37" s="73">
        <f t="shared" ref="F37:F75" si="13">F38</f>
        <v>1.0733208619058132E-2</v>
      </c>
      <c r="G37" s="73">
        <v>4.2286526411771774E-2</v>
      </c>
      <c r="H37" s="73">
        <v>1.8162939697504044E-2</v>
      </c>
      <c r="I37" s="82">
        <f t="shared" ref="I37:I41" si="14">0.85*(1-F37)*(1-(1+0.9*3/18)*(1-D37))*B37*(E37/D37)</f>
        <v>7.4015976421701195</v>
      </c>
      <c r="J37" s="83">
        <f t="shared" ref="J37:J41" si="15">I37/(D37*B37)</f>
        <v>0.37767109849435243</v>
      </c>
      <c r="K37" s="84">
        <f t="shared" ref="K37:K72" si="16">J37*D37/E37</f>
        <v>0.77571538835126053</v>
      </c>
      <c r="L37" s="82">
        <f t="shared" si="4"/>
        <v>6.6614378779531078</v>
      </c>
      <c r="M37" s="77"/>
      <c r="N37" s="77"/>
      <c r="O37" s="77"/>
      <c r="P37" s="73"/>
      <c r="Q37" s="73"/>
      <c r="R37" s="79"/>
      <c r="S37" s="80"/>
      <c r="T37" s="79"/>
      <c r="U37" s="79"/>
      <c r="V37" s="79"/>
      <c r="W37" s="79"/>
      <c r="X37" s="71"/>
      <c r="Y37" s="80"/>
      <c r="Z37" s="79"/>
      <c r="AA37" s="79"/>
      <c r="AB37" s="73"/>
      <c r="AC37" s="79"/>
      <c r="AD37" s="71"/>
      <c r="AE37" s="80"/>
      <c r="AF37" s="79"/>
      <c r="AG37" s="79"/>
      <c r="AH37" s="79"/>
      <c r="AI37" s="79"/>
      <c r="AJ37" s="71"/>
      <c r="AK37" s="72"/>
      <c r="AL37" s="73"/>
      <c r="AM37" s="74"/>
      <c r="AN37" s="75">
        <v>0.5</v>
      </c>
    </row>
    <row r="38" spans="1:40" ht="15.6" x14ac:dyDescent="0.3">
      <c r="A38" s="29">
        <v>1812</v>
      </c>
      <c r="B38" s="76">
        <v>29.85304</v>
      </c>
      <c r="C38" s="82">
        <f t="shared" si="11"/>
        <v>19.691410715388702</v>
      </c>
      <c r="D38" s="73">
        <f t="shared" si="12"/>
        <v>0.65961157441214369</v>
      </c>
      <c r="E38" s="73">
        <f t="shared" si="12"/>
        <v>0.32120141365940558</v>
      </c>
      <c r="F38" s="73">
        <f t="shared" si="13"/>
        <v>1.0733208619058132E-2</v>
      </c>
      <c r="G38" s="73">
        <v>4.1920654475688934E-2</v>
      </c>
      <c r="H38" s="73">
        <v>1.8167696893215179E-2</v>
      </c>
      <c r="I38" s="82">
        <f t="shared" si="14"/>
        <v>7.4389001395071164</v>
      </c>
      <c r="J38" s="83">
        <f t="shared" si="15"/>
        <v>0.37777385516080203</v>
      </c>
      <c r="K38" s="84">
        <f t="shared" si="16"/>
        <v>0.77578739313579304</v>
      </c>
      <c r="L38" s="82">
        <f t="shared" si="4"/>
        <v>6.6950101255564052</v>
      </c>
      <c r="M38" s="77"/>
      <c r="N38" s="77"/>
      <c r="O38" s="77"/>
      <c r="P38" s="73"/>
      <c r="Q38" s="73"/>
      <c r="R38" s="79"/>
      <c r="S38" s="80"/>
      <c r="T38" s="79"/>
      <c r="U38" s="79"/>
      <c r="V38" s="79"/>
      <c r="W38" s="79"/>
      <c r="X38" s="71"/>
      <c r="Y38" s="80"/>
      <c r="Z38" s="79"/>
      <c r="AA38" s="79"/>
      <c r="AB38" s="73"/>
      <c r="AC38" s="79"/>
      <c r="AD38" s="71"/>
      <c r="AE38" s="80"/>
      <c r="AF38" s="79"/>
      <c r="AG38" s="79"/>
      <c r="AH38" s="79"/>
      <c r="AI38" s="79"/>
      <c r="AJ38" s="71"/>
      <c r="AK38" s="72"/>
      <c r="AL38" s="73"/>
      <c r="AM38" s="74"/>
      <c r="AN38" s="75">
        <v>0.5</v>
      </c>
    </row>
    <row r="39" spans="1:40" ht="15.6" x14ac:dyDescent="0.3">
      <c r="A39" s="29">
        <v>1813</v>
      </c>
      <c r="B39" s="76">
        <v>29.983450000000001</v>
      </c>
      <c r="C39" s="82">
        <f t="shared" si="11"/>
        <v>19.784877909865301</v>
      </c>
      <c r="D39" s="73">
        <f t="shared" si="12"/>
        <v>0.65985995306962009</v>
      </c>
      <c r="E39" s="73">
        <f t="shared" si="12"/>
        <v>0.32137995661991153</v>
      </c>
      <c r="F39" s="73">
        <f t="shared" si="13"/>
        <v>1.0733208619058132E-2</v>
      </c>
      <c r="G39" s="73">
        <v>4.1557993739843369E-2</v>
      </c>
      <c r="H39" s="73">
        <v>1.8172392621636391E-2</v>
      </c>
      <c r="I39" s="82">
        <f t="shared" si="14"/>
        <v>7.4762428575658113</v>
      </c>
      <c r="J39" s="83">
        <f t="shared" si="15"/>
        <v>0.37787662332947453</v>
      </c>
      <c r="K39" s="84">
        <f t="shared" si="16"/>
        <v>0.77585937081691991</v>
      </c>
      <c r="L39" s="82">
        <f t="shared" si="4"/>
        <v>6.7286185718092302</v>
      </c>
      <c r="M39" s="77"/>
      <c r="N39" s="77"/>
      <c r="O39" s="77"/>
      <c r="P39" s="73"/>
      <c r="Q39" s="73"/>
      <c r="R39" s="79"/>
      <c r="S39" s="80"/>
      <c r="T39" s="79"/>
      <c r="U39" s="79"/>
      <c r="V39" s="79"/>
      <c r="W39" s="79"/>
      <c r="X39" s="71"/>
      <c r="Y39" s="80"/>
      <c r="Z39" s="79"/>
      <c r="AA39" s="79"/>
      <c r="AB39" s="73"/>
      <c r="AC39" s="79"/>
      <c r="AD39" s="71"/>
      <c r="AE39" s="80"/>
      <c r="AF39" s="79"/>
      <c r="AG39" s="79"/>
      <c r="AH39" s="79"/>
      <c r="AI39" s="79"/>
      <c r="AJ39" s="71"/>
      <c r="AK39" s="72"/>
      <c r="AL39" s="73"/>
      <c r="AM39" s="74"/>
      <c r="AN39" s="75">
        <v>0.5</v>
      </c>
    </row>
    <row r="40" spans="1:40" ht="15.6" x14ac:dyDescent="0.3">
      <c r="A40" s="29">
        <v>1814</v>
      </c>
      <c r="B40" s="76">
        <v>30.113885</v>
      </c>
      <c r="C40" s="82">
        <f t="shared" si="11"/>
        <v>19.878429205654218</v>
      </c>
      <c r="D40" s="73">
        <f t="shared" si="12"/>
        <v>0.66010842525480251</v>
      </c>
      <c r="E40" s="73">
        <f t="shared" si="12"/>
        <v>0.32155859882527565</v>
      </c>
      <c r="F40" s="73">
        <f t="shared" si="13"/>
        <v>1.0733208619058132E-2</v>
      </c>
      <c r="G40" s="73">
        <v>4.1198436170816422E-2</v>
      </c>
      <c r="H40" s="73">
        <v>1.8177064135670662E-2</v>
      </c>
      <c r="I40" s="82">
        <f t="shared" si="14"/>
        <v>7.5136368038064054</v>
      </c>
      <c r="J40" s="83">
        <f t="shared" si="15"/>
        <v>0.37797940300379607</v>
      </c>
      <c r="K40" s="84">
        <f t="shared" si="16"/>
        <v>0.77593132140484378</v>
      </c>
      <c r="L40" s="82">
        <f t="shared" si="4"/>
        <v>6.7622731234257651</v>
      </c>
      <c r="M40" s="77"/>
      <c r="N40" s="77"/>
      <c r="O40" s="77"/>
      <c r="P40" s="73"/>
      <c r="Q40" s="73"/>
      <c r="R40" s="79"/>
      <c r="S40" s="80"/>
      <c r="T40" s="79"/>
      <c r="U40" s="79"/>
      <c r="V40" s="79"/>
      <c r="W40" s="79"/>
      <c r="X40" s="71"/>
      <c r="Y40" s="80"/>
      <c r="Z40" s="79"/>
      <c r="AA40" s="79"/>
      <c r="AB40" s="73"/>
      <c r="AC40" s="79"/>
      <c r="AD40" s="71"/>
      <c r="AE40" s="80"/>
      <c r="AF40" s="79"/>
      <c r="AG40" s="79"/>
      <c r="AH40" s="79"/>
      <c r="AI40" s="79"/>
      <c r="AJ40" s="71"/>
      <c r="AK40" s="72"/>
      <c r="AL40" s="73"/>
      <c r="AM40" s="74"/>
      <c r="AN40" s="75">
        <v>0.5</v>
      </c>
    </row>
    <row r="41" spans="1:40" ht="15.6" x14ac:dyDescent="0.3">
      <c r="A41" s="29">
        <v>1815</v>
      </c>
      <c r="B41" s="76">
        <v>30.244301</v>
      </c>
      <c r="C41" s="82">
        <f t="shared" si="11"/>
        <v>19.972035603346278</v>
      </c>
      <c r="D41" s="73">
        <f t="shared" si="12"/>
        <v>0.66035699100290923</v>
      </c>
      <c r="E41" s="73">
        <f t="shared" si="12"/>
        <v>0.3217373403306642</v>
      </c>
      <c r="F41" s="73">
        <f t="shared" si="13"/>
        <v>1.0733208619058132E-2</v>
      </c>
      <c r="G41" s="73">
        <v>4.0842007845640182E-2</v>
      </c>
      <c r="H41" s="73">
        <v>1.8181705847382545E-2</v>
      </c>
      <c r="I41" s="82">
        <f t="shared" si="14"/>
        <v>7.5510710432978891</v>
      </c>
      <c r="J41" s="83">
        <f t="shared" si="15"/>
        <v>0.37808219418719247</v>
      </c>
      <c r="K41" s="84">
        <f t="shared" si="16"/>
        <v>0.77600324490976258</v>
      </c>
      <c r="L41" s="82">
        <f t="shared" si="4"/>
        <v>6.7959639389681001</v>
      </c>
      <c r="M41" s="77"/>
      <c r="N41" s="77"/>
      <c r="O41" s="77"/>
      <c r="P41" s="73"/>
      <c r="Q41" s="73"/>
      <c r="R41" s="79"/>
      <c r="S41" s="80"/>
      <c r="T41" s="79"/>
      <c r="U41" s="79"/>
      <c r="V41" s="79"/>
      <c r="W41" s="79"/>
      <c r="X41" s="71"/>
      <c r="Y41" s="76">
        <f>L41</f>
        <v>6.7959639389681001</v>
      </c>
      <c r="Z41" s="82">
        <f>AB41*Y41</f>
        <v>1.495112066572982</v>
      </c>
      <c r="AA41" s="79"/>
      <c r="AB41" s="73">
        <v>0.22</v>
      </c>
      <c r="AC41" s="73">
        <v>0</v>
      </c>
      <c r="AD41" s="74">
        <v>0.999</v>
      </c>
      <c r="AE41" s="80"/>
      <c r="AF41" s="79"/>
      <c r="AG41" s="79"/>
      <c r="AH41" s="79"/>
      <c r="AI41" s="79"/>
      <c r="AJ41" s="71"/>
      <c r="AK41" s="72"/>
      <c r="AL41" s="73"/>
      <c r="AM41" s="74"/>
      <c r="AN41" s="75">
        <v>0.5</v>
      </c>
    </row>
    <row r="42" spans="1:40" ht="15.6" x14ac:dyDescent="0.3">
      <c r="A42" s="29">
        <v>1816</v>
      </c>
      <c r="B42" s="76">
        <v>30.374745000000001</v>
      </c>
      <c r="C42" s="82">
        <f t="shared" si="11"/>
        <v>20.06572817491525</v>
      </c>
      <c r="D42" s="73">
        <f t="shared" si="12"/>
        <v>0.66060565034917162</v>
      </c>
      <c r="E42" s="73">
        <f t="shared" si="12"/>
        <v>0.32191618119127402</v>
      </c>
      <c r="F42" s="73">
        <f t="shared" si="13"/>
        <v>1.0733208619058132E-2</v>
      </c>
      <c r="G42" s="73">
        <v>4.0488604456186295E-2</v>
      </c>
      <c r="H42" s="73">
        <v>1.8186291679739952E-2</v>
      </c>
      <c r="I42" s="82">
        <v>0.09</v>
      </c>
      <c r="J42" s="83">
        <f t="shared" ref="J42:J72" si="17">I42/(D42*B42*(1-H42))</f>
        <v>4.568340781557532E-3</v>
      </c>
      <c r="K42" s="84">
        <f t="shared" si="16"/>
        <v>9.3747127648246952E-3</v>
      </c>
      <c r="L42" s="82">
        <f t="shared" si="4"/>
        <v>8.1000000000000003E-2</v>
      </c>
      <c r="M42" s="77"/>
      <c r="N42" s="77"/>
      <c r="O42" s="77"/>
      <c r="P42" s="73"/>
      <c r="Q42" s="73"/>
      <c r="R42" s="79"/>
      <c r="S42" s="80"/>
      <c r="T42" s="79"/>
      <c r="U42" s="79"/>
      <c r="V42" s="79"/>
      <c r="W42" s="79"/>
      <c r="X42" s="71"/>
      <c r="Y42" s="80"/>
      <c r="Z42" s="79"/>
      <c r="AA42" s="79"/>
      <c r="AB42" s="73"/>
      <c r="AC42" s="79"/>
      <c r="AD42" s="71"/>
      <c r="AE42" s="80"/>
      <c r="AF42" s="79"/>
      <c r="AG42" s="79"/>
      <c r="AH42" s="79"/>
      <c r="AI42" s="79"/>
      <c r="AJ42" s="71"/>
      <c r="AK42" s="72"/>
      <c r="AL42" s="73"/>
      <c r="AM42" s="74"/>
      <c r="AN42" s="75">
        <v>0.5</v>
      </c>
    </row>
    <row r="43" spans="1:40" ht="15.6" x14ac:dyDescent="0.3">
      <c r="A43" s="29">
        <v>1817</v>
      </c>
      <c r="B43" s="76">
        <v>30.505139</v>
      </c>
      <c r="C43" s="82">
        <f t="shared" si="11"/>
        <v>20.159455432308153</v>
      </c>
      <c r="D43" s="73">
        <f t="shared" si="12"/>
        <v>0.66085440332883427</v>
      </c>
      <c r="E43" s="73">
        <f t="shared" si="12"/>
        <v>0.32209512146233271</v>
      </c>
      <c r="F43" s="73">
        <f t="shared" si="13"/>
        <v>1.0733208619058132E-2</v>
      </c>
      <c r="G43" s="73">
        <v>4.0138252079486847E-2</v>
      </c>
      <c r="H43" s="73">
        <v>1.8190803006291389E-2</v>
      </c>
      <c r="I43" s="82">
        <v>0.09</v>
      </c>
      <c r="J43" s="83">
        <f t="shared" si="17"/>
        <v>4.5471221106677864E-3</v>
      </c>
      <c r="K43" s="84">
        <f t="shared" si="16"/>
        <v>9.3294976206590146E-3</v>
      </c>
      <c r="L43" s="82">
        <f t="shared" si="4"/>
        <v>8.1000000000000003E-2</v>
      </c>
      <c r="M43" s="77"/>
      <c r="N43" s="77"/>
      <c r="O43" s="77"/>
      <c r="P43" s="73"/>
      <c r="Q43" s="73"/>
      <c r="R43" s="79"/>
      <c r="S43" s="80"/>
      <c r="T43" s="79"/>
      <c r="U43" s="79"/>
      <c r="V43" s="79"/>
      <c r="W43" s="79"/>
      <c r="X43" s="71"/>
      <c r="Y43" s="80"/>
      <c r="Z43" s="79"/>
      <c r="AA43" s="79"/>
      <c r="AB43" s="73"/>
      <c r="AC43" s="79"/>
      <c r="AD43" s="71"/>
      <c r="AE43" s="80"/>
      <c r="AF43" s="79"/>
      <c r="AG43" s="79"/>
      <c r="AH43" s="79"/>
      <c r="AI43" s="79"/>
      <c r="AJ43" s="71"/>
      <c r="AK43" s="72"/>
      <c r="AL43" s="73"/>
      <c r="AM43" s="74"/>
      <c r="AN43" s="75">
        <v>0.5</v>
      </c>
    </row>
    <row r="44" spans="1:40" ht="15.6" x14ac:dyDescent="0.3">
      <c r="A44" s="29">
        <v>1818</v>
      </c>
      <c r="B44" s="76">
        <v>30.635563999999999</v>
      </c>
      <c r="C44" s="82">
        <f t="shared" si="11"/>
        <v>20.253270925283136</v>
      </c>
      <c r="D44" s="73">
        <f t="shared" si="12"/>
        <v>0.66110324997715519</v>
      </c>
      <c r="E44" s="73">
        <f t="shared" si="12"/>
        <v>0.32227416119909857</v>
      </c>
      <c r="F44" s="73">
        <f t="shared" si="13"/>
        <v>1.0733208619058132E-2</v>
      </c>
      <c r="G44" s="73">
        <v>3.9790879935026169E-2</v>
      </c>
      <c r="H44" s="73">
        <v>1.819535531103611E-2</v>
      </c>
      <c r="I44" s="82">
        <v>0.1</v>
      </c>
      <c r="J44" s="83">
        <f t="shared" si="17"/>
        <v>5.0289781123077706E-3</v>
      </c>
      <c r="K44" s="84">
        <f t="shared" si="16"/>
        <v>1.0316290209988902E-2</v>
      </c>
      <c r="L44" s="82">
        <f t="shared" si="4"/>
        <v>9.0000000000000011E-2</v>
      </c>
      <c r="M44" s="77"/>
      <c r="N44" s="77"/>
      <c r="O44" s="77"/>
      <c r="P44" s="73"/>
      <c r="Q44" s="73"/>
      <c r="R44" s="79"/>
      <c r="S44" s="80"/>
      <c r="T44" s="79"/>
      <c r="U44" s="79"/>
      <c r="V44" s="79"/>
      <c r="W44" s="79"/>
      <c r="X44" s="71"/>
      <c r="Y44" s="80"/>
      <c r="Z44" s="79"/>
      <c r="AA44" s="79"/>
      <c r="AB44" s="73"/>
      <c r="AC44" s="79"/>
      <c r="AD44" s="71"/>
      <c r="AE44" s="80"/>
      <c r="AF44" s="79"/>
      <c r="AG44" s="79"/>
      <c r="AH44" s="79"/>
      <c r="AI44" s="79"/>
      <c r="AJ44" s="71"/>
      <c r="AK44" s="72"/>
      <c r="AL44" s="73"/>
      <c r="AM44" s="74"/>
      <c r="AN44" s="75">
        <v>0.5</v>
      </c>
    </row>
    <row r="45" spans="1:40" ht="15.6" x14ac:dyDescent="0.3">
      <c r="A45" s="29">
        <v>1819</v>
      </c>
      <c r="B45" s="76">
        <v>30.765989999999999</v>
      </c>
      <c r="C45" s="82">
        <f t="shared" si="11"/>
        <v>20.347154874152587</v>
      </c>
      <c r="D45" s="73">
        <f t="shared" si="12"/>
        <v>0.66135219032940551</v>
      </c>
      <c r="E45" s="73">
        <f t="shared" si="12"/>
        <v>0.3224533004568606</v>
      </c>
      <c r="F45" s="73">
        <f t="shared" si="13"/>
        <v>1.0733208619058132E-2</v>
      </c>
      <c r="G45" s="73">
        <v>3.9446447044610977E-2</v>
      </c>
      <c r="H45" s="73">
        <v>1.8199805170297623E-2</v>
      </c>
      <c r="I45" s="82">
        <v>0.1</v>
      </c>
      <c r="J45" s="83">
        <f t="shared" si="17"/>
        <v>5.0057965573154888E-3</v>
      </c>
      <c r="K45" s="84">
        <f t="shared" si="16"/>
        <v>1.0266896052338294E-2</v>
      </c>
      <c r="L45" s="82">
        <f t="shared" si="4"/>
        <v>9.0000000000000011E-2</v>
      </c>
      <c r="M45" s="77"/>
      <c r="N45" s="77"/>
      <c r="O45" s="77"/>
      <c r="P45" s="73"/>
      <c r="Q45" s="73"/>
      <c r="R45" s="79"/>
      <c r="S45" s="80"/>
      <c r="T45" s="79"/>
      <c r="U45" s="79"/>
      <c r="V45" s="79"/>
      <c r="W45" s="79"/>
      <c r="X45" s="71"/>
      <c r="Y45" s="80"/>
      <c r="Z45" s="79"/>
      <c r="AA45" s="79"/>
      <c r="AB45" s="73"/>
      <c r="AC45" s="79"/>
      <c r="AD45" s="71"/>
      <c r="AE45" s="80"/>
      <c r="AF45" s="79"/>
      <c r="AG45" s="79"/>
      <c r="AH45" s="79"/>
      <c r="AI45" s="79"/>
      <c r="AJ45" s="71"/>
      <c r="AK45" s="72"/>
      <c r="AL45" s="73"/>
      <c r="AM45" s="74"/>
      <c r="AN45" s="75">
        <v>0.5</v>
      </c>
    </row>
    <row r="46" spans="1:40" ht="15.6" x14ac:dyDescent="0.3">
      <c r="A46" s="29">
        <v>1820</v>
      </c>
      <c r="B46" s="76">
        <v>30.896408999999998</v>
      </c>
      <c r="C46" s="82">
        <f t="shared" si="11"/>
        <v>20.441102024607979</v>
      </c>
      <c r="D46" s="73">
        <f t="shared" si="12"/>
        <v>0.66160122442086977</v>
      </c>
      <c r="E46" s="73">
        <f t="shared" si="12"/>
        <v>0.32263253929093849</v>
      </c>
      <c r="F46" s="73">
        <f t="shared" si="13"/>
        <v>1.0733208619058132E-2</v>
      </c>
      <c r="G46" s="73">
        <v>3.9104931056499481E-2</v>
      </c>
      <c r="H46" s="73">
        <v>1.8204251304268837E-2</v>
      </c>
      <c r="I46" s="82">
        <v>0.1</v>
      </c>
      <c r="J46" s="83">
        <f t="shared" si="17"/>
        <v>4.9828125190903979E-3</v>
      </c>
      <c r="K46" s="84">
        <f t="shared" si="16"/>
        <v>1.021792430154436E-2</v>
      </c>
      <c r="L46" s="82">
        <f t="shared" si="4"/>
        <v>9.0000000000000011E-2</v>
      </c>
      <c r="M46" s="77"/>
      <c r="N46" s="77"/>
      <c r="O46" s="77"/>
      <c r="P46" s="73"/>
      <c r="Q46" s="73"/>
      <c r="R46" s="79"/>
      <c r="S46" s="80"/>
      <c r="T46" s="79"/>
      <c r="U46" s="79"/>
      <c r="V46" s="79"/>
      <c r="W46" s="79"/>
      <c r="X46" s="71"/>
      <c r="Y46" s="80"/>
      <c r="Z46" s="79"/>
      <c r="AA46" s="79"/>
      <c r="AB46" s="73"/>
      <c r="AC46" s="79"/>
      <c r="AD46" s="71"/>
      <c r="AE46" s="80"/>
      <c r="AF46" s="79"/>
      <c r="AG46" s="79"/>
      <c r="AH46" s="79"/>
      <c r="AI46" s="79"/>
      <c r="AJ46" s="71"/>
      <c r="AK46" s="72"/>
      <c r="AL46" s="73"/>
      <c r="AM46" s="74"/>
      <c r="AN46" s="75">
        <v>0.5</v>
      </c>
    </row>
    <row r="47" spans="1:40" ht="15.6" x14ac:dyDescent="0.3">
      <c r="A47" s="29">
        <v>1821</v>
      </c>
      <c r="B47" s="76">
        <v>31.026828999999999</v>
      </c>
      <c r="C47" s="82">
        <f t="shared" si="11"/>
        <v>20.53511770399372</v>
      </c>
      <c r="D47" s="73">
        <f t="shared" si="12"/>
        <v>0.66185035228684574</v>
      </c>
      <c r="E47" s="73">
        <f t="shared" si="12"/>
        <v>0.32281187775668274</v>
      </c>
      <c r="F47" s="73">
        <f t="shared" si="13"/>
        <v>1.0733208619058132E-2</v>
      </c>
      <c r="G47" s="73">
        <v>3.8766287267208099E-2</v>
      </c>
      <c r="H47" s="73">
        <v>1.820862852036953E-2</v>
      </c>
      <c r="I47" s="82">
        <v>0.1</v>
      </c>
      <c r="J47" s="83">
        <f t="shared" si="17"/>
        <v>4.9600218828460482E-3</v>
      </c>
      <c r="K47" s="84">
        <f t="shared" si="16"/>
        <v>1.0169366298802992E-2</v>
      </c>
      <c r="L47" s="82">
        <f t="shared" si="4"/>
        <v>9.0000000000000011E-2</v>
      </c>
      <c r="M47" s="77"/>
      <c r="N47" s="77"/>
      <c r="O47" s="77"/>
      <c r="P47" s="73"/>
      <c r="Q47" s="73"/>
      <c r="R47" s="79"/>
      <c r="S47" s="80"/>
      <c r="T47" s="79"/>
      <c r="U47" s="79"/>
      <c r="V47" s="79"/>
      <c r="W47" s="79"/>
      <c r="X47" s="71"/>
      <c r="Y47" s="80"/>
      <c r="Z47" s="79"/>
      <c r="AA47" s="79"/>
      <c r="AB47" s="73"/>
      <c r="AC47" s="79"/>
      <c r="AD47" s="71"/>
      <c r="AE47" s="80"/>
      <c r="AF47" s="79"/>
      <c r="AG47" s="79"/>
      <c r="AH47" s="79"/>
      <c r="AI47" s="79"/>
      <c r="AJ47" s="71"/>
      <c r="AK47" s="72"/>
      <c r="AL47" s="73"/>
      <c r="AM47" s="74"/>
      <c r="AN47" s="75">
        <v>0.5</v>
      </c>
    </row>
    <row r="48" spans="1:40" ht="15.6" x14ac:dyDescent="0.3">
      <c r="A48" s="29">
        <v>1822</v>
      </c>
      <c r="B48" s="76">
        <v>31.241658999999999</v>
      </c>
      <c r="C48" s="82">
        <f t="shared" si="11"/>
        <v>20.685089113786219</v>
      </c>
      <c r="D48" s="73">
        <f t="shared" si="12"/>
        <v>0.66209957396264452</v>
      </c>
      <c r="E48" s="73">
        <f t="shared" si="12"/>
        <v>0.32299131590947455</v>
      </c>
      <c r="F48" s="73">
        <f t="shared" si="13"/>
        <v>1.0733208619058132E-2</v>
      </c>
      <c r="G48" s="73">
        <v>3.8912627846002579E-2</v>
      </c>
      <c r="H48" s="73">
        <v>1.8214525654911995E-2</v>
      </c>
      <c r="I48" s="82">
        <v>0.1</v>
      </c>
      <c r="J48" s="83">
        <f t="shared" si="17"/>
        <v>4.9240902184345403E-3</v>
      </c>
      <c r="K48" s="84">
        <f t="shared" si="16"/>
        <v>1.0093887591370686E-2</v>
      </c>
      <c r="L48" s="82">
        <f t="shared" si="4"/>
        <v>9.0000000000000011E-2</v>
      </c>
      <c r="M48" s="77"/>
      <c r="N48" s="77"/>
      <c r="O48" s="77"/>
      <c r="P48" s="73"/>
      <c r="Q48" s="73"/>
      <c r="R48" s="79"/>
      <c r="S48" s="80"/>
      <c r="T48" s="79"/>
      <c r="U48" s="79"/>
      <c r="V48" s="79"/>
      <c r="W48" s="79"/>
      <c r="X48" s="71"/>
      <c r="Y48" s="80"/>
      <c r="Z48" s="79"/>
      <c r="AA48" s="79"/>
      <c r="AB48" s="73"/>
      <c r="AC48" s="79"/>
      <c r="AD48" s="71"/>
      <c r="AE48" s="80"/>
      <c r="AF48" s="79"/>
      <c r="AG48" s="79"/>
      <c r="AH48" s="79"/>
      <c r="AI48" s="79"/>
      <c r="AJ48" s="71"/>
      <c r="AK48" s="72"/>
      <c r="AL48" s="73"/>
      <c r="AM48" s="74"/>
      <c r="AN48" s="75">
        <v>0.5</v>
      </c>
    </row>
    <row r="49" spans="1:40" ht="15.6" x14ac:dyDescent="0.3">
      <c r="A49" s="29">
        <v>1823</v>
      </c>
      <c r="B49" s="76">
        <v>31.456495</v>
      </c>
      <c r="C49" s="82">
        <f t="shared" si="11"/>
        <v>20.835174530296115</v>
      </c>
      <c r="D49" s="73">
        <f t="shared" si="12"/>
        <v>0.66234888948359039</v>
      </c>
      <c r="E49" s="73">
        <f t="shared" si="12"/>
        <v>0.32317085380472599</v>
      </c>
      <c r="F49" s="73">
        <f t="shared" si="13"/>
        <v>1.0733208619058132E-2</v>
      </c>
      <c r="G49" s="73">
        <v>3.9056863635778427E-2</v>
      </c>
      <c r="H49" s="73">
        <v>1.8220402300357819E-2</v>
      </c>
      <c r="I49" s="82">
        <v>0.1</v>
      </c>
      <c r="J49" s="83">
        <f t="shared" si="17"/>
        <v>4.8886489767691861E-3</v>
      </c>
      <c r="K49" s="84">
        <f t="shared" si="16"/>
        <v>1.0019440746951448E-2</v>
      </c>
      <c r="L49" s="82">
        <f t="shared" si="4"/>
        <v>9.0000000000000011E-2</v>
      </c>
      <c r="M49" s="77"/>
      <c r="N49" s="77"/>
      <c r="O49" s="77"/>
      <c r="P49" s="73"/>
      <c r="Q49" s="73"/>
      <c r="R49" s="79"/>
      <c r="S49" s="80"/>
      <c r="T49" s="79"/>
      <c r="U49" s="79"/>
      <c r="V49" s="79"/>
      <c r="W49" s="79"/>
      <c r="X49" s="71"/>
      <c r="Y49" s="80"/>
      <c r="Z49" s="79"/>
      <c r="AA49" s="79"/>
      <c r="AB49" s="73"/>
      <c r="AC49" s="79"/>
      <c r="AD49" s="71"/>
      <c r="AE49" s="80"/>
      <c r="AF49" s="79"/>
      <c r="AG49" s="79"/>
      <c r="AH49" s="79"/>
      <c r="AI49" s="79"/>
      <c r="AJ49" s="71"/>
      <c r="AK49" s="72"/>
      <c r="AL49" s="73"/>
      <c r="AM49" s="74"/>
      <c r="AN49" s="75">
        <v>0.5</v>
      </c>
    </row>
    <row r="50" spans="1:40" ht="15.6" x14ac:dyDescent="0.3">
      <c r="A50" s="29">
        <v>1824</v>
      </c>
      <c r="B50" s="76">
        <v>31.671329</v>
      </c>
      <c r="C50" s="82">
        <f t="shared" si="11"/>
        <v>20.985368718827836</v>
      </c>
      <c r="D50" s="73">
        <f t="shared" si="12"/>
        <v>0.66259829888502109</v>
      </c>
      <c r="E50" s="73">
        <f t="shared" si="12"/>
        <v>0.32335049149787981</v>
      </c>
      <c r="F50" s="73">
        <f t="shared" si="13"/>
        <v>1.0733208619058132E-2</v>
      </c>
      <c r="G50" s="73">
        <v>3.9199240505695343E-2</v>
      </c>
      <c r="H50" s="73">
        <v>1.8226137384772301E-2</v>
      </c>
      <c r="I50" s="82">
        <v>0.1</v>
      </c>
      <c r="J50" s="83">
        <f t="shared" si="17"/>
        <v>4.853688825270242E-3</v>
      </c>
      <c r="K50" s="84">
        <f t="shared" si="16"/>
        <v>9.9460060940169803E-3</v>
      </c>
      <c r="L50" s="82">
        <f t="shared" si="4"/>
        <v>9.0000000000000011E-2</v>
      </c>
      <c r="M50" s="77"/>
      <c r="N50" s="77"/>
      <c r="O50" s="77"/>
      <c r="P50" s="73"/>
      <c r="Q50" s="73"/>
      <c r="R50" s="79"/>
      <c r="S50" s="80"/>
      <c r="T50" s="79"/>
      <c r="U50" s="79"/>
      <c r="V50" s="79"/>
      <c r="W50" s="79"/>
      <c r="X50" s="71"/>
      <c r="Y50" s="80"/>
      <c r="Z50" s="79"/>
      <c r="AA50" s="79"/>
      <c r="AB50" s="73"/>
      <c r="AC50" s="79"/>
      <c r="AD50" s="71"/>
      <c r="AE50" s="80"/>
      <c r="AF50" s="79"/>
      <c r="AG50" s="79"/>
      <c r="AH50" s="79"/>
      <c r="AI50" s="79"/>
      <c r="AJ50" s="71"/>
      <c r="AK50" s="72"/>
      <c r="AL50" s="73"/>
      <c r="AM50" s="74"/>
      <c r="AN50" s="75">
        <v>0.5</v>
      </c>
    </row>
    <row r="51" spans="1:40" ht="15.6" x14ac:dyDescent="0.3">
      <c r="A51" s="29">
        <v>1825</v>
      </c>
      <c r="B51" s="76">
        <v>31.886161999999999</v>
      </c>
      <c r="C51" s="82">
        <f t="shared" si="11"/>
        <v>21.135672402366097</v>
      </c>
      <c r="D51" s="73">
        <f t="shared" si="12"/>
        <v>0.66284780220228756</v>
      </c>
      <c r="E51" s="73">
        <f t="shared" si="12"/>
        <v>0.3235302290444097</v>
      </c>
      <c r="F51" s="73">
        <f t="shared" si="13"/>
        <v>1.0733208619058132E-2</v>
      </c>
      <c r="G51" s="73">
        <v>3.9339605718851089E-2</v>
      </c>
      <c r="H51" s="73">
        <v>1.8231859430670738E-2</v>
      </c>
      <c r="I51" s="82">
        <v>0.1</v>
      </c>
      <c r="J51" s="83">
        <f t="shared" si="17"/>
        <v>4.8192005135347634E-3</v>
      </c>
      <c r="K51" s="84">
        <f t="shared" si="16"/>
        <v>9.8735641433065954E-3</v>
      </c>
      <c r="L51" s="82">
        <f t="shared" si="4"/>
        <v>9.0000000000000011E-2</v>
      </c>
      <c r="M51" s="77"/>
      <c r="N51" s="77"/>
      <c r="O51" s="77"/>
      <c r="P51" s="73"/>
      <c r="Q51" s="73"/>
      <c r="R51" s="79"/>
      <c r="S51" s="80"/>
      <c r="T51" s="79"/>
      <c r="U51" s="79"/>
      <c r="V51" s="79"/>
      <c r="W51" s="79"/>
      <c r="X51" s="71"/>
      <c r="Y51" s="80"/>
      <c r="Z51" s="79"/>
      <c r="AA51" s="79"/>
      <c r="AB51" s="73"/>
      <c r="AC51" s="79"/>
      <c r="AD51" s="71"/>
      <c r="AE51" s="80"/>
      <c r="AF51" s="79"/>
      <c r="AG51" s="79"/>
      <c r="AH51" s="79"/>
      <c r="AI51" s="79"/>
      <c r="AJ51" s="71"/>
      <c r="AK51" s="72"/>
      <c r="AL51" s="73"/>
      <c r="AM51" s="74"/>
      <c r="AN51" s="75">
        <v>0.5</v>
      </c>
    </row>
    <row r="52" spans="1:40" ht="15.6" x14ac:dyDescent="0.3">
      <c r="A52" s="29">
        <v>1826</v>
      </c>
      <c r="B52" s="76">
        <v>32.101008999999998</v>
      </c>
      <c r="C52" s="82">
        <f t="shared" si="11"/>
        <v>21.286095588287271</v>
      </c>
      <c r="D52" s="73">
        <f t="shared" si="12"/>
        <v>0.66309739947075408</v>
      </c>
      <c r="E52" s="73">
        <f t="shared" si="12"/>
        <v>0.32371006649982015</v>
      </c>
      <c r="F52" s="73">
        <f t="shared" si="13"/>
        <v>1.0733208619058132E-2</v>
      </c>
      <c r="G52" s="73">
        <v>3.947816789150238E-2</v>
      </c>
      <c r="H52" s="73">
        <v>1.8237432464957237E-2</v>
      </c>
      <c r="I52" s="82">
        <v>0.1</v>
      </c>
      <c r="J52" s="83">
        <f t="shared" si="17"/>
        <v>4.7851716661963858E-3</v>
      </c>
      <c r="K52" s="84">
        <f t="shared" si="16"/>
        <v>9.8020890180680297E-3</v>
      </c>
      <c r="L52" s="82">
        <f t="shared" si="4"/>
        <v>9.0000000000000011E-2</v>
      </c>
      <c r="M52" s="77"/>
      <c r="N52" s="77"/>
      <c r="O52" s="77"/>
      <c r="P52" s="73"/>
      <c r="Q52" s="73"/>
      <c r="R52" s="79"/>
      <c r="S52" s="80"/>
      <c r="T52" s="79"/>
      <c r="U52" s="79"/>
      <c r="V52" s="79"/>
      <c r="W52" s="79"/>
      <c r="X52" s="71"/>
      <c r="Y52" s="80"/>
      <c r="Z52" s="79"/>
      <c r="AA52" s="79"/>
      <c r="AB52" s="73"/>
      <c r="AC52" s="79"/>
      <c r="AD52" s="71"/>
      <c r="AE52" s="80"/>
      <c r="AF52" s="79"/>
      <c r="AG52" s="79"/>
      <c r="AH52" s="79"/>
      <c r="AI52" s="79"/>
      <c r="AJ52" s="71"/>
      <c r="AK52" s="72"/>
      <c r="AL52" s="73"/>
      <c r="AM52" s="74"/>
      <c r="AN52" s="75">
        <v>0.5</v>
      </c>
    </row>
    <row r="53" spans="1:40" ht="15.6" x14ac:dyDescent="0.3">
      <c r="A53" s="29">
        <v>1827</v>
      </c>
      <c r="B53" s="76">
        <v>32.315812999999999</v>
      </c>
      <c r="C53" s="82">
        <f t="shared" si="11"/>
        <v>21.43660053798893</v>
      </c>
      <c r="D53" s="73">
        <f t="shared" si="12"/>
        <v>0.66334709072579823</v>
      </c>
      <c r="E53" s="73">
        <f t="shared" si="12"/>
        <v>0.32389000391964651</v>
      </c>
      <c r="F53" s="73">
        <f t="shared" si="13"/>
        <v>1.0733208619058132E-2</v>
      </c>
      <c r="G53" s="73">
        <v>3.9614878594875336E-2</v>
      </c>
      <c r="H53" s="73">
        <v>1.8242927268147469E-2</v>
      </c>
      <c r="I53" s="82">
        <v>0.1</v>
      </c>
      <c r="J53" s="83">
        <f t="shared" si="17"/>
        <v>4.7516018876296619E-3</v>
      </c>
      <c r="K53" s="84">
        <f t="shared" si="16"/>
        <v>9.7315793951711881E-3</v>
      </c>
      <c r="L53" s="82">
        <f t="shared" si="4"/>
        <v>9.0000000000000011E-2</v>
      </c>
      <c r="M53" s="77"/>
      <c r="N53" s="77"/>
      <c r="O53" s="77"/>
      <c r="P53" s="73"/>
      <c r="Q53" s="73"/>
      <c r="R53" s="79"/>
      <c r="S53" s="80"/>
      <c r="T53" s="79"/>
      <c r="U53" s="79"/>
      <c r="V53" s="79"/>
      <c r="W53" s="79"/>
      <c r="X53" s="71"/>
      <c r="Y53" s="80"/>
      <c r="Z53" s="79"/>
      <c r="AA53" s="79"/>
      <c r="AB53" s="73"/>
      <c r="AC53" s="79"/>
      <c r="AD53" s="71"/>
      <c r="AE53" s="80"/>
      <c r="AF53" s="79"/>
      <c r="AG53" s="79"/>
      <c r="AH53" s="79"/>
      <c r="AI53" s="79"/>
      <c r="AJ53" s="71"/>
      <c r="AK53" s="72"/>
      <c r="AL53" s="73"/>
      <c r="AM53" s="74"/>
      <c r="AN53" s="75">
        <v>0.5</v>
      </c>
    </row>
    <row r="54" spans="1:40" ht="15.6" x14ac:dyDescent="0.3">
      <c r="A54" s="29">
        <v>1828</v>
      </c>
      <c r="B54" s="76">
        <v>32.530653999999998</v>
      </c>
      <c r="C54" s="82">
        <f t="shared" si="11"/>
        <v>21.587240368728345</v>
      </c>
      <c r="D54" s="73">
        <f t="shared" si="12"/>
        <v>0.66359687600281092</v>
      </c>
      <c r="E54" s="73">
        <f t="shared" si="12"/>
        <v>0.32407004135945494</v>
      </c>
      <c r="F54" s="73">
        <f t="shared" si="13"/>
        <v>1.0733208619058132E-2</v>
      </c>
      <c r="G54" s="73">
        <v>3.9749771356582642E-2</v>
      </c>
      <c r="H54" s="73">
        <v>1.8248418346047401E-2</v>
      </c>
      <c r="I54" s="82">
        <v>0.1</v>
      </c>
      <c r="J54" s="83">
        <f t="shared" si="17"/>
        <v>4.718470705303842E-3</v>
      </c>
      <c r="K54" s="84">
        <f t="shared" si="16"/>
        <v>9.6619928408542971E-3</v>
      </c>
      <c r="L54" s="82">
        <f t="shared" si="4"/>
        <v>9.0000000000000011E-2</v>
      </c>
      <c r="M54" s="77"/>
      <c r="N54" s="77"/>
      <c r="O54" s="77"/>
      <c r="P54" s="73"/>
      <c r="Q54" s="73"/>
      <c r="R54" s="79"/>
      <c r="S54" s="80"/>
      <c r="T54" s="79"/>
      <c r="U54" s="79"/>
      <c r="V54" s="79"/>
      <c r="W54" s="79"/>
      <c r="X54" s="71"/>
      <c r="Y54" s="80"/>
      <c r="Z54" s="79"/>
      <c r="AA54" s="79"/>
      <c r="AB54" s="73"/>
      <c r="AC54" s="79"/>
      <c r="AD54" s="71"/>
      <c r="AE54" s="80"/>
      <c r="AF54" s="79"/>
      <c r="AG54" s="79"/>
      <c r="AH54" s="79"/>
      <c r="AI54" s="79"/>
      <c r="AJ54" s="71"/>
      <c r="AK54" s="72"/>
      <c r="AL54" s="73"/>
      <c r="AM54" s="74"/>
      <c r="AN54" s="75">
        <v>0.5</v>
      </c>
    </row>
    <row r="55" spans="1:40" ht="15.6" x14ac:dyDescent="0.3">
      <c r="A55" s="29">
        <v>1829</v>
      </c>
      <c r="B55" s="76">
        <v>32.745480000000001</v>
      </c>
      <c r="C55" s="82">
        <f t="shared" si="11"/>
        <v>21.737980649959059</v>
      </c>
      <c r="D55" s="73">
        <f t="shared" si="12"/>
        <v>0.66384675533719639</v>
      </c>
      <c r="E55" s="73">
        <f t="shared" si="12"/>
        <v>0.32425017887484259</v>
      </c>
      <c r="F55" s="73">
        <f t="shared" si="13"/>
        <v>1.0733208619058132E-2</v>
      </c>
      <c r="G55" s="73">
        <v>3.9882879704236984E-2</v>
      </c>
      <c r="H55" s="73">
        <v>1.8253786489367485E-2</v>
      </c>
      <c r="I55" s="82">
        <v>0.1</v>
      </c>
      <c r="J55" s="83">
        <f t="shared" si="17"/>
        <v>4.6857764705678607E-3</v>
      </c>
      <c r="K55" s="84">
        <f t="shared" si="16"/>
        <v>9.593325490261425E-3</v>
      </c>
      <c r="L55" s="82">
        <f t="shared" si="4"/>
        <v>9.0000000000000011E-2</v>
      </c>
      <c r="M55" s="77"/>
      <c r="N55" s="77"/>
      <c r="O55" s="77"/>
      <c r="P55" s="73"/>
      <c r="Q55" s="73"/>
      <c r="R55" s="79"/>
      <c r="S55" s="80"/>
      <c r="T55" s="79"/>
      <c r="U55" s="79"/>
      <c r="V55" s="79"/>
      <c r="W55" s="79"/>
      <c r="X55" s="71"/>
      <c r="Y55" s="80"/>
      <c r="Z55" s="79"/>
      <c r="AA55" s="79"/>
      <c r="AB55" s="73"/>
      <c r="AC55" s="79"/>
      <c r="AD55" s="71"/>
      <c r="AE55" s="80"/>
      <c r="AF55" s="79"/>
      <c r="AG55" s="79"/>
      <c r="AH55" s="79"/>
      <c r="AI55" s="79"/>
      <c r="AJ55" s="71"/>
      <c r="AK55" s="72"/>
      <c r="AL55" s="73"/>
      <c r="AM55" s="74"/>
      <c r="AN55" s="75">
        <v>0.5</v>
      </c>
    </row>
    <row r="56" spans="1:40" ht="15.6" x14ac:dyDescent="0.3">
      <c r="A56" s="29">
        <v>1830</v>
      </c>
      <c r="B56" s="76">
        <v>32.960324</v>
      </c>
      <c r="C56" s="82">
        <f t="shared" si="11"/>
        <v>21.888843347413832</v>
      </c>
      <c r="D56" s="73">
        <f t="shared" si="12"/>
        <v>0.66409672876437231</v>
      </c>
      <c r="E56" s="73">
        <f t="shared" si="12"/>
        <v>0.32443041652143739</v>
      </c>
      <c r="F56" s="73">
        <f t="shared" si="13"/>
        <v>1.0733208619058132E-2</v>
      </c>
      <c r="G56" s="73">
        <v>4.0014259517192841E-2</v>
      </c>
      <c r="H56" s="73">
        <v>1.8259134143590927E-2</v>
      </c>
      <c r="I56" s="82">
        <v>0.1</v>
      </c>
      <c r="J56" s="83">
        <f t="shared" si="17"/>
        <v>4.6535064219631762E-3</v>
      </c>
      <c r="K56" s="84">
        <f t="shared" si="16"/>
        <v>9.5255507336364093E-3</v>
      </c>
      <c r="L56" s="82">
        <f t="shared" si="4"/>
        <v>9.0000000000000011E-2</v>
      </c>
      <c r="M56" s="77"/>
      <c r="N56" s="77"/>
      <c r="O56" s="77"/>
      <c r="P56" s="73"/>
      <c r="Q56" s="73"/>
      <c r="R56" s="79"/>
      <c r="S56" s="80"/>
      <c r="T56" s="79"/>
      <c r="U56" s="79"/>
      <c r="V56" s="79"/>
      <c r="W56" s="79"/>
      <c r="X56" s="71"/>
      <c r="Y56" s="80"/>
      <c r="Z56" s="79"/>
      <c r="AA56" s="79"/>
      <c r="AB56" s="73"/>
      <c r="AC56" s="79"/>
      <c r="AD56" s="71"/>
      <c r="AE56" s="80"/>
      <c r="AF56" s="79"/>
      <c r="AG56" s="79"/>
      <c r="AH56" s="79"/>
      <c r="AI56" s="79"/>
      <c r="AJ56" s="71"/>
      <c r="AK56" s="72"/>
      <c r="AL56" s="73"/>
      <c r="AM56" s="74"/>
      <c r="AN56" s="75">
        <v>0.5</v>
      </c>
    </row>
    <row r="57" spans="1:40" ht="15.6" x14ac:dyDescent="0.3">
      <c r="A57" s="29">
        <v>1831</v>
      </c>
      <c r="B57" s="76">
        <v>33.175145999999998</v>
      </c>
      <c r="C57" s="82">
        <f t="shared" si="11"/>
        <v>22.039801962540611</v>
      </c>
      <c r="D57" s="73">
        <f t="shared" si="12"/>
        <v>0.66434679631976945</v>
      </c>
      <c r="E57" s="73">
        <f t="shared" si="12"/>
        <v>0.32461075435489828</v>
      </c>
      <c r="F57" s="73">
        <f t="shared" si="13"/>
        <v>1.0733208619058132E-2</v>
      </c>
      <c r="G57" s="73">
        <v>4.01439368724823E-2</v>
      </c>
      <c r="H57" s="73">
        <v>1.8264366313815117E-2</v>
      </c>
      <c r="I57" s="82">
        <v>0.16</v>
      </c>
      <c r="J57" s="83">
        <f t="shared" si="17"/>
        <v>7.394651993545779E-3</v>
      </c>
      <c r="K57" s="84">
        <f t="shared" si="16"/>
        <v>1.5133858924589893E-2</v>
      </c>
      <c r="L57" s="82">
        <f t="shared" si="4"/>
        <v>0.14400000000000002</v>
      </c>
      <c r="M57" s="77"/>
      <c r="N57" s="77"/>
      <c r="O57" s="77"/>
      <c r="P57" s="73"/>
      <c r="Q57" s="73"/>
      <c r="R57" s="79"/>
      <c r="S57" s="80"/>
      <c r="T57" s="79"/>
      <c r="U57" s="79"/>
      <c r="V57" s="79"/>
      <c r="W57" s="79"/>
      <c r="X57" s="71"/>
      <c r="Y57" s="80"/>
      <c r="Z57" s="79"/>
      <c r="AA57" s="79"/>
      <c r="AB57" s="73"/>
      <c r="AC57" s="79"/>
      <c r="AD57" s="71"/>
      <c r="AE57" s="80"/>
      <c r="AF57" s="79"/>
      <c r="AG57" s="79"/>
      <c r="AH57" s="79"/>
      <c r="AI57" s="79"/>
      <c r="AJ57" s="71"/>
      <c r="AK57" s="72"/>
      <c r="AL57" s="73"/>
      <c r="AM57" s="74"/>
      <c r="AN57" s="75">
        <v>0.5</v>
      </c>
    </row>
    <row r="58" spans="1:40" ht="15.6" x14ac:dyDescent="0.3">
      <c r="A58" s="29">
        <v>1832</v>
      </c>
      <c r="B58" s="76">
        <v>33.374021999999997</v>
      </c>
      <c r="C58" s="82">
        <f t="shared" si="11"/>
        <v>22.180273498721061</v>
      </c>
      <c r="D58" s="73">
        <f t="shared" si="12"/>
        <v>0.66459695803883223</v>
      </c>
      <c r="E58" s="73">
        <f t="shared" si="12"/>
        <v>0.32479119243091509</v>
      </c>
      <c r="F58" s="73">
        <f t="shared" si="13"/>
        <v>1.0733208619058132E-2</v>
      </c>
      <c r="G58" s="73">
        <v>4.0221072733402252E-2</v>
      </c>
      <c r="H58" s="73">
        <v>1.8291471526026726E-2</v>
      </c>
      <c r="I58" s="82">
        <v>0.16</v>
      </c>
      <c r="J58" s="83">
        <f t="shared" si="17"/>
        <v>7.3480232493340477E-3</v>
      </c>
      <c r="K58" s="84">
        <f t="shared" si="16"/>
        <v>1.5035733766532991E-2</v>
      </c>
      <c r="L58" s="82">
        <f t="shared" si="4"/>
        <v>0.14400000000000002</v>
      </c>
      <c r="M58" s="77"/>
      <c r="N58" s="77"/>
      <c r="O58" s="77"/>
      <c r="P58" s="73"/>
      <c r="Q58" s="73"/>
      <c r="R58" s="79"/>
      <c r="S58" s="80"/>
      <c r="T58" s="79"/>
      <c r="U58" s="79"/>
      <c r="V58" s="79"/>
      <c r="W58" s="79"/>
      <c r="X58" s="71"/>
      <c r="Y58" s="80"/>
      <c r="Z58" s="79"/>
      <c r="AA58" s="79"/>
      <c r="AB58" s="73"/>
      <c r="AC58" s="79"/>
      <c r="AD58" s="71"/>
      <c r="AE58" s="80"/>
      <c r="AF58" s="79"/>
      <c r="AG58" s="79"/>
      <c r="AH58" s="79"/>
      <c r="AI58" s="79"/>
      <c r="AJ58" s="71"/>
      <c r="AK58" s="72"/>
      <c r="AL58" s="73"/>
      <c r="AM58" s="74"/>
      <c r="AN58" s="75">
        <v>0.5</v>
      </c>
    </row>
    <row r="59" spans="1:40" ht="15.6" x14ac:dyDescent="0.3">
      <c r="A59" s="29">
        <v>1833</v>
      </c>
      <c r="B59" s="76">
        <v>33.572893000000001</v>
      </c>
      <c r="C59" s="82">
        <f t="shared" si="11"/>
        <v>22.320844375527074</v>
      </c>
      <c r="D59" s="73">
        <f t="shared" si="12"/>
        <v>0.66484721395701807</v>
      </c>
      <c r="E59" s="73">
        <f t="shared" si="12"/>
        <v>0.32497173080520869</v>
      </c>
      <c r="F59" s="73">
        <f t="shared" si="13"/>
        <v>1.0733208619058132E-2</v>
      </c>
      <c r="G59" s="73">
        <v>4.0297333151102066E-2</v>
      </c>
      <c r="H59" s="73">
        <v>1.8318260088562965E-2</v>
      </c>
      <c r="I59" s="82">
        <v>0.16</v>
      </c>
      <c r="J59" s="83">
        <f t="shared" si="17"/>
        <v>7.3019465619106206E-3</v>
      </c>
      <c r="K59" s="84">
        <f t="shared" si="16"/>
        <v>1.4938772723770382E-2</v>
      </c>
      <c r="L59" s="82">
        <f t="shared" si="4"/>
        <v>0.14400000000000002</v>
      </c>
      <c r="M59" s="77"/>
      <c r="N59" s="77"/>
      <c r="O59" s="77"/>
      <c r="P59" s="73"/>
      <c r="Q59" s="73"/>
      <c r="R59" s="79"/>
      <c r="S59" s="80"/>
      <c r="T59" s="79"/>
      <c r="U59" s="79"/>
      <c r="V59" s="79"/>
      <c r="W59" s="79"/>
      <c r="X59" s="71"/>
      <c r="Y59" s="80"/>
      <c r="Z59" s="79"/>
      <c r="AA59" s="79"/>
      <c r="AB59" s="73"/>
      <c r="AC59" s="79"/>
      <c r="AD59" s="71"/>
      <c r="AE59" s="80"/>
      <c r="AF59" s="79"/>
      <c r="AG59" s="79"/>
      <c r="AH59" s="79"/>
      <c r="AI59" s="79"/>
      <c r="AJ59" s="71"/>
      <c r="AK59" s="72"/>
      <c r="AL59" s="73"/>
      <c r="AM59" s="74"/>
      <c r="AN59" s="75">
        <v>0.5</v>
      </c>
    </row>
    <row r="60" spans="1:40" ht="15.6" x14ac:dyDescent="0.3">
      <c r="A60" s="29">
        <v>1834</v>
      </c>
      <c r="B60" s="76">
        <v>33.771771999999999</v>
      </c>
      <c r="C60" s="82">
        <f t="shared" si="11"/>
        <v>22.46152329287148</v>
      </c>
      <c r="D60" s="73">
        <f t="shared" si="12"/>
        <v>0.66509756410979803</v>
      </c>
      <c r="E60" s="73">
        <f t="shared" si="12"/>
        <v>0.32515236953353083</v>
      </c>
      <c r="F60" s="73">
        <f t="shared" si="13"/>
        <v>1.0733208619058132E-2</v>
      </c>
      <c r="G60" s="73">
        <v>4.0372680872678757E-2</v>
      </c>
      <c r="H60" s="73">
        <v>1.8344787880778313E-2</v>
      </c>
      <c r="I60" s="82">
        <v>0.16</v>
      </c>
      <c r="J60" s="83">
        <f t="shared" si="17"/>
        <v>7.2564097799043409E-3</v>
      </c>
      <c r="K60" s="84">
        <f t="shared" si="16"/>
        <v>1.4842950324245435E-2</v>
      </c>
      <c r="L60" s="82">
        <f t="shared" si="4"/>
        <v>0.14400000000000002</v>
      </c>
      <c r="M60" s="77"/>
      <c r="N60" s="77"/>
      <c r="O60" s="77"/>
      <c r="P60" s="73"/>
      <c r="Q60" s="73"/>
      <c r="R60" s="79"/>
      <c r="S60" s="80"/>
      <c r="T60" s="79"/>
      <c r="U60" s="79"/>
      <c r="V60" s="79"/>
      <c r="W60" s="79"/>
      <c r="X60" s="71"/>
      <c r="Y60" s="80"/>
      <c r="Z60" s="79"/>
      <c r="AA60" s="79"/>
      <c r="AB60" s="73"/>
      <c r="AC60" s="79"/>
      <c r="AD60" s="71"/>
      <c r="AE60" s="80"/>
      <c r="AF60" s="79"/>
      <c r="AG60" s="79"/>
      <c r="AH60" s="79"/>
      <c r="AI60" s="79"/>
      <c r="AJ60" s="71"/>
      <c r="AK60" s="72"/>
      <c r="AL60" s="73"/>
      <c r="AM60" s="74"/>
      <c r="AN60" s="75">
        <v>0.5</v>
      </c>
    </row>
    <row r="61" spans="1:40" ht="15.6" x14ac:dyDescent="0.3">
      <c r="A61" s="29">
        <v>1835</v>
      </c>
      <c r="B61" s="76">
        <v>33.970643000000003</v>
      </c>
      <c r="C61" s="82">
        <f t="shared" si="11"/>
        <v>22.602299668623825</v>
      </c>
      <c r="D61" s="73">
        <f t="shared" si="12"/>
        <v>0.66534800853265641</v>
      </c>
      <c r="E61" s="73">
        <f t="shared" si="12"/>
        <v>0.32533310867166426</v>
      </c>
      <c r="F61" s="73">
        <f t="shared" si="13"/>
        <v>1.0733208619058132E-2</v>
      </c>
      <c r="G61" s="73">
        <v>4.0447160601615906E-2</v>
      </c>
      <c r="H61" s="73">
        <v>1.8370950594544411E-2</v>
      </c>
      <c r="I61" s="82">
        <v>0.16</v>
      </c>
      <c r="J61" s="83">
        <f t="shared" si="17"/>
        <v>7.2114060847531915E-3</v>
      </c>
      <c r="K61" s="84">
        <f t="shared" si="16"/>
        <v>1.4748252020218438E-2</v>
      </c>
      <c r="L61" s="82">
        <f t="shared" si="4"/>
        <v>0.14400000000000002</v>
      </c>
      <c r="M61" s="77"/>
      <c r="N61" s="77"/>
      <c r="O61" s="77"/>
      <c r="P61" s="73"/>
      <c r="Q61" s="73"/>
      <c r="R61" s="79"/>
      <c r="S61" s="80"/>
      <c r="T61" s="79"/>
      <c r="U61" s="79"/>
      <c r="V61" s="79"/>
      <c r="W61" s="79"/>
      <c r="X61" s="71"/>
      <c r="Y61" s="80"/>
      <c r="Z61" s="79"/>
      <c r="AA61" s="79"/>
      <c r="AB61" s="73"/>
      <c r="AC61" s="79"/>
      <c r="AD61" s="71"/>
      <c r="AE61" s="80"/>
      <c r="AF61" s="79"/>
      <c r="AG61" s="79"/>
      <c r="AH61" s="79"/>
      <c r="AI61" s="79"/>
      <c r="AJ61" s="71"/>
      <c r="AK61" s="72"/>
      <c r="AL61" s="73"/>
      <c r="AM61" s="74"/>
      <c r="AN61" s="75">
        <v>0.5</v>
      </c>
    </row>
    <row r="62" spans="1:40" ht="15.6" x14ac:dyDescent="0.3">
      <c r="A62" s="29">
        <v>1836</v>
      </c>
      <c r="B62" s="76">
        <v>34.169519000000001</v>
      </c>
      <c r="C62" s="82">
        <f t="shared" si="11"/>
        <v>22.743182207010246</v>
      </c>
      <c r="D62" s="73">
        <f t="shared" si="12"/>
        <v>0.66559854726109091</v>
      </c>
      <c r="E62" s="73">
        <f t="shared" si="12"/>
        <v>0.32551394827542279</v>
      </c>
      <c r="F62" s="73">
        <f t="shared" si="13"/>
        <v>1.0733208619058132E-2</v>
      </c>
      <c r="G62" s="73">
        <v>4.0520735085010529E-2</v>
      </c>
      <c r="H62" s="73">
        <v>1.8396805971860886E-2</v>
      </c>
      <c r="I62" s="82">
        <v>0.16</v>
      </c>
      <c r="J62" s="83">
        <f t="shared" si="17"/>
        <v>7.1669238341030197E-3</v>
      </c>
      <c r="K62" s="84">
        <f t="shared" si="16"/>
        <v>1.4654653410653947E-2</v>
      </c>
      <c r="L62" s="82">
        <f t="shared" si="4"/>
        <v>0.14400000000000002</v>
      </c>
      <c r="M62" s="77"/>
      <c r="N62" s="77"/>
      <c r="O62" s="77"/>
      <c r="P62" s="73"/>
      <c r="Q62" s="73"/>
      <c r="R62" s="79"/>
      <c r="S62" s="80"/>
      <c r="T62" s="79"/>
      <c r="U62" s="79"/>
      <c r="V62" s="79"/>
      <c r="W62" s="79"/>
      <c r="X62" s="71"/>
      <c r="Y62" s="80"/>
      <c r="Z62" s="79"/>
      <c r="AA62" s="79"/>
      <c r="AB62" s="73"/>
      <c r="AC62" s="79"/>
      <c r="AD62" s="71"/>
      <c r="AE62" s="80"/>
      <c r="AF62" s="79"/>
      <c r="AG62" s="79"/>
      <c r="AH62" s="79"/>
      <c r="AI62" s="79"/>
      <c r="AJ62" s="71"/>
      <c r="AK62" s="72"/>
      <c r="AL62" s="73"/>
      <c r="AM62" s="74"/>
      <c r="AN62" s="75">
        <v>0.5</v>
      </c>
    </row>
    <row r="63" spans="1:40" ht="15.6" x14ac:dyDescent="0.3">
      <c r="A63" s="29">
        <v>1837</v>
      </c>
      <c r="B63" s="76">
        <v>34.310540000000003</v>
      </c>
      <c r="C63" s="82">
        <f t="shared" si="11"/>
        <v>22.845644935700697</v>
      </c>
      <c r="D63" s="73">
        <f t="shared" si="12"/>
        <v>0.66584918033061258</v>
      </c>
      <c r="E63" s="73">
        <f t="shared" si="12"/>
        <v>0.32569488840065119</v>
      </c>
      <c r="F63" s="73">
        <f t="shared" si="13"/>
        <v>1.0733208619058132E-2</v>
      </c>
      <c r="G63" s="73">
        <v>4.0516063570976257E-2</v>
      </c>
      <c r="H63" s="73">
        <v>1.8413582816720009E-2</v>
      </c>
      <c r="I63" s="82">
        <v>0.2</v>
      </c>
      <c r="J63" s="83">
        <f t="shared" si="17"/>
        <v>8.9186276521799248E-3</v>
      </c>
      <c r="K63" s="84">
        <f t="shared" si="16"/>
        <v>1.8233202679474616E-2</v>
      </c>
      <c r="L63" s="82">
        <f t="shared" si="4"/>
        <v>0.18000000000000002</v>
      </c>
      <c r="M63" s="77"/>
      <c r="N63" s="77"/>
      <c r="O63" s="77"/>
      <c r="P63" s="73"/>
      <c r="Q63" s="73"/>
      <c r="R63" s="79"/>
      <c r="S63" s="80"/>
      <c r="T63" s="79"/>
      <c r="U63" s="79"/>
      <c r="V63" s="79"/>
      <c r="W63" s="79"/>
      <c r="X63" s="71"/>
      <c r="Y63" s="80"/>
      <c r="Z63" s="79"/>
      <c r="AA63" s="79"/>
      <c r="AB63" s="73"/>
      <c r="AC63" s="79"/>
      <c r="AD63" s="71"/>
      <c r="AE63" s="80"/>
      <c r="AF63" s="79"/>
      <c r="AG63" s="79"/>
      <c r="AH63" s="79"/>
      <c r="AI63" s="79"/>
      <c r="AJ63" s="71"/>
      <c r="AK63" s="72"/>
      <c r="AL63" s="73"/>
      <c r="AM63" s="74"/>
      <c r="AN63" s="75">
        <v>0.5</v>
      </c>
    </row>
    <row r="64" spans="1:40" ht="15.6" x14ac:dyDescent="0.3">
      <c r="A64" s="29">
        <v>1838</v>
      </c>
      <c r="B64" s="76">
        <v>34.451566</v>
      </c>
      <c r="C64" s="82">
        <f t="shared" si="11"/>
        <v>22.94818493536447</v>
      </c>
      <c r="D64" s="73">
        <f t="shared" si="12"/>
        <v>0.66609990777674577</v>
      </c>
      <c r="E64" s="73">
        <f t="shared" si="12"/>
        <v>0.32587592910322533</v>
      </c>
      <c r="F64" s="73">
        <f t="shared" si="13"/>
        <v>1.0733208619058132E-2</v>
      </c>
      <c r="G64" s="73">
        <v>4.0511481463909149E-2</v>
      </c>
      <c r="H64" s="73">
        <v>1.8430221825838089E-2</v>
      </c>
      <c r="I64" s="82">
        <v>0.2</v>
      </c>
      <c r="J64" s="83">
        <f t="shared" si="17"/>
        <v>8.8789268133072086E-3</v>
      </c>
      <c r="K64" s="84">
        <f t="shared" si="16"/>
        <v>1.8148785483407068E-2</v>
      </c>
      <c r="L64" s="82">
        <f t="shared" si="4"/>
        <v>0.18000000000000002</v>
      </c>
      <c r="M64" s="77"/>
      <c r="N64" s="77"/>
      <c r="O64" s="77"/>
      <c r="P64" s="73"/>
      <c r="Q64" s="73"/>
      <c r="R64" s="79"/>
      <c r="S64" s="80"/>
      <c r="T64" s="79"/>
      <c r="U64" s="79"/>
      <c r="V64" s="79"/>
      <c r="W64" s="79"/>
      <c r="X64" s="71"/>
      <c r="Y64" s="80"/>
      <c r="Z64" s="79"/>
      <c r="AA64" s="79"/>
      <c r="AB64" s="73"/>
      <c r="AC64" s="79"/>
      <c r="AD64" s="71"/>
      <c r="AE64" s="80"/>
      <c r="AF64" s="79"/>
      <c r="AG64" s="79"/>
      <c r="AH64" s="79"/>
      <c r="AI64" s="79"/>
      <c r="AJ64" s="71"/>
      <c r="AK64" s="72"/>
      <c r="AL64" s="73"/>
      <c r="AM64" s="74"/>
      <c r="AN64" s="75">
        <v>0.5</v>
      </c>
    </row>
    <row r="65" spans="1:40" ht="15.6" x14ac:dyDescent="0.3">
      <c r="A65" s="29">
        <v>1839</v>
      </c>
      <c r="B65" s="76">
        <v>34.592590000000001</v>
      </c>
      <c r="C65" s="82">
        <f t="shared" si="11"/>
        <v>23.050797586465382</v>
      </c>
      <c r="D65" s="73">
        <f t="shared" si="12"/>
        <v>0.66635072963502828</v>
      </c>
      <c r="E65" s="73">
        <f t="shared" si="12"/>
        <v>0.32605707043905208</v>
      </c>
      <c r="F65" s="73">
        <f t="shared" si="13"/>
        <v>1.0733208619058132E-2</v>
      </c>
      <c r="G65" s="73">
        <v>4.0506854653358459E-2</v>
      </c>
      <c r="H65" s="73">
        <v>1.8446696922183037E-2</v>
      </c>
      <c r="I65" s="82">
        <v>0.2</v>
      </c>
      <c r="J65" s="83">
        <f t="shared" si="17"/>
        <v>8.8395498572104037E-3</v>
      </c>
      <c r="K65" s="84">
        <f t="shared" si="16"/>
        <v>1.8065059865335416E-2</v>
      </c>
      <c r="L65" s="82">
        <f t="shared" si="4"/>
        <v>0.18000000000000002</v>
      </c>
      <c r="M65" s="77"/>
      <c r="N65" s="77"/>
      <c r="O65" s="77"/>
      <c r="P65" s="73"/>
      <c r="Q65" s="73"/>
      <c r="R65" s="79"/>
      <c r="S65" s="80"/>
      <c r="T65" s="79"/>
      <c r="U65" s="79"/>
      <c r="V65" s="79"/>
      <c r="W65" s="79"/>
      <c r="X65" s="71"/>
      <c r="Y65" s="80"/>
      <c r="Z65" s="79"/>
      <c r="AA65" s="79"/>
      <c r="AB65" s="73"/>
      <c r="AC65" s="79"/>
      <c r="AD65" s="71"/>
      <c r="AE65" s="80"/>
      <c r="AF65" s="79"/>
      <c r="AG65" s="79"/>
      <c r="AH65" s="79"/>
      <c r="AI65" s="79"/>
      <c r="AJ65" s="71"/>
      <c r="AK65" s="72"/>
      <c r="AL65" s="73"/>
      <c r="AM65" s="74"/>
      <c r="AN65" s="75">
        <v>0.5</v>
      </c>
    </row>
    <row r="66" spans="1:40" ht="15.6" x14ac:dyDescent="0.3">
      <c r="A66" s="29">
        <v>1840</v>
      </c>
      <c r="B66" s="76">
        <v>34.733615999999998</v>
      </c>
      <c r="C66" s="82">
        <f t="shared" si="11"/>
        <v>23.153485595083044</v>
      </c>
      <c r="D66" s="73">
        <f t="shared" si="12"/>
        <v>0.66660164594101134</v>
      </c>
      <c r="E66" s="73">
        <f t="shared" si="12"/>
        <v>0.32623831246406948</v>
      </c>
      <c r="F66" s="73">
        <f t="shared" si="13"/>
        <v>1.0733208619058132E-2</v>
      </c>
      <c r="G66" s="73">
        <v>4.0502347052097321E-2</v>
      </c>
      <c r="H66" s="73">
        <v>1.8463063985109329E-2</v>
      </c>
      <c r="I66" s="82">
        <v>0.2</v>
      </c>
      <c r="J66" s="83">
        <f t="shared" si="17"/>
        <v>8.8004923206725164E-3</v>
      </c>
      <c r="K66" s="84">
        <f t="shared" si="16"/>
        <v>1.7982016341804224E-2</v>
      </c>
      <c r="L66" s="82">
        <f t="shared" si="4"/>
        <v>0.18000000000000002</v>
      </c>
      <c r="M66" s="77"/>
      <c r="N66" s="77"/>
      <c r="O66" s="77"/>
      <c r="P66" s="73"/>
      <c r="Q66" s="73"/>
      <c r="R66" s="79"/>
      <c r="S66" s="80"/>
      <c r="T66" s="79"/>
      <c r="U66" s="79"/>
      <c r="V66" s="79"/>
      <c r="W66" s="79"/>
      <c r="X66" s="71"/>
      <c r="Y66" s="80"/>
      <c r="Z66" s="79"/>
      <c r="AA66" s="79"/>
      <c r="AB66" s="73"/>
      <c r="AC66" s="79"/>
      <c r="AD66" s="71"/>
      <c r="AE66" s="80"/>
      <c r="AF66" s="79"/>
      <c r="AG66" s="79"/>
      <c r="AH66" s="79"/>
      <c r="AI66" s="79"/>
      <c r="AJ66" s="71"/>
      <c r="AK66" s="72"/>
      <c r="AL66" s="73"/>
      <c r="AM66" s="74"/>
      <c r="AN66" s="75">
        <v>0.5</v>
      </c>
    </row>
    <row r="67" spans="1:40" ht="15.6" x14ac:dyDescent="0.3">
      <c r="A67" s="29">
        <v>1841</v>
      </c>
      <c r="B67" s="76">
        <v>34.874637</v>
      </c>
      <c r="C67" s="82">
        <f t="shared" si="11"/>
        <v>23.256244335953404</v>
      </c>
      <c r="D67" s="73">
        <f t="shared" si="12"/>
        <v>0.6668526567302594</v>
      </c>
      <c r="E67" s="73">
        <f t="shared" si="12"/>
        <v>0.3264196552342466</v>
      </c>
      <c r="F67" s="73">
        <f t="shared" si="13"/>
        <v>1.0733208619058132E-2</v>
      </c>
      <c r="G67" s="73">
        <v>4.0497828274965286E-2</v>
      </c>
      <c r="H67" s="73">
        <v>1.8479302525520325E-2</v>
      </c>
      <c r="I67" s="82">
        <v>0.2</v>
      </c>
      <c r="J67" s="83">
        <f t="shared" si="17"/>
        <v>8.7617519117403845E-3</v>
      </c>
      <c r="K67" s="84">
        <f t="shared" si="16"/>
        <v>1.7899649871765757E-2</v>
      </c>
      <c r="L67" s="82">
        <f t="shared" si="4"/>
        <v>0.18000000000000002</v>
      </c>
      <c r="M67" s="77"/>
      <c r="N67" s="77"/>
      <c r="O67" s="77"/>
      <c r="P67" s="73"/>
      <c r="Q67" s="73"/>
      <c r="R67" s="79"/>
      <c r="S67" s="80"/>
      <c r="T67" s="79"/>
      <c r="U67" s="79"/>
      <c r="V67" s="79"/>
      <c r="W67" s="79"/>
      <c r="X67" s="71"/>
      <c r="Y67" s="80"/>
      <c r="Z67" s="79"/>
      <c r="AA67" s="79"/>
      <c r="AB67" s="73"/>
      <c r="AC67" s="79"/>
      <c r="AD67" s="71"/>
      <c r="AE67" s="80"/>
      <c r="AF67" s="79"/>
      <c r="AG67" s="79"/>
      <c r="AH67" s="79"/>
      <c r="AI67" s="79"/>
      <c r="AJ67" s="71"/>
      <c r="AK67" s="72"/>
      <c r="AL67" s="73"/>
      <c r="AM67" s="74"/>
      <c r="AN67" s="75">
        <v>0.5</v>
      </c>
    </row>
    <row r="68" spans="1:40" ht="15.6" x14ac:dyDescent="0.3">
      <c r="A68" s="29">
        <v>1842</v>
      </c>
      <c r="B68" s="76">
        <v>35.113903000000001</v>
      </c>
      <c r="C68" s="82">
        <f t="shared" si="11"/>
        <v>23.42461679114972</v>
      </c>
      <c r="D68" s="73">
        <f t="shared" si="12"/>
        <v>0.66710376203835042</v>
      </c>
      <c r="E68" s="73">
        <f t="shared" si="12"/>
        <v>0.32660109880558358</v>
      </c>
      <c r="F68" s="73">
        <f t="shared" si="13"/>
        <v>1.0733208619058132E-2</v>
      </c>
      <c r="G68" s="73">
        <v>4.0497150272130966E-2</v>
      </c>
      <c r="H68" s="73">
        <v>1.8501702696084976E-2</v>
      </c>
      <c r="I68" s="82">
        <v>0.25</v>
      </c>
      <c r="J68" s="83">
        <f t="shared" si="17"/>
        <v>1.0873715433032619E-2</v>
      </c>
      <c r="K68" s="84">
        <f t="shared" si="16"/>
        <v>2.2210263527094164E-2</v>
      </c>
      <c r="L68" s="82">
        <f t="shared" si="4"/>
        <v>0.22500000000000001</v>
      </c>
      <c r="M68" s="77"/>
      <c r="N68" s="77"/>
      <c r="O68" s="77"/>
      <c r="P68" s="73"/>
      <c r="Q68" s="73"/>
      <c r="R68" s="79"/>
      <c r="S68" s="80"/>
      <c r="T68" s="79"/>
      <c r="U68" s="79"/>
      <c r="V68" s="79"/>
      <c r="W68" s="79"/>
      <c r="X68" s="71"/>
      <c r="Y68" s="80"/>
      <c r="Z68" s="79"/>
      <c r="AA68" s="79"/>
      <c r="AB68" s="73"/>
      <c r="AC68" s="79"/>
      <c r="AD68" s="71"/>
      <c r="AE68" s="80"/>
      <c r="AF68" s="79"/>
      <c r="AG68" s="79"/>
      <c r="AH68" s="79"/>
      <c r="AI68" s="79"/>
      <c r="AJ68" s="71"/>
      <c r="AK68" s="72"/>
      <c r="AL68" s="73"/>
      <c r="AM68" s="74"/>
      <c r="AN68" s="75">
        <v>0.5</v>
      </c>
    </row>
    <row r="69" spans="1:40" ht="15.6" x14ac:dyDescent="0.3">
      <c r="A69" s="29">
        <v>1843</v>
      </c>
      <c r="B69" s="76">
        <v>35.353175</v>
      </c>
      <c r="C69" s="82">
        <f t="shared" si="11"/>
        <v>23.593116755199997</v>
      </c>
      <c r="D69" s="73">
        <f t="shared" si="12"/>
        <v>0.66735496190087584</v>
      </c>
      <c r="E69" s="73">
        <f t="shared" si="12"/>
        <v>0.32678264323411177</v>
      </c>
      <c r="F69" s="73">
        <f t="shared" si="13"/>
        <v>1.0733208619058132E-2</v>
      </c>
      <c r="G69" s="73">
        <v>4.0496505796909332E-2</v>
      </c>
      <c r="H69" s="73">
        <v>1.8523823469877243E-2</v>
      </c>
      <c r="I69" s="82">
        <v>0.25</v>
      </c>
      <c r="J69" s="83">
        <f t="shared" si="17"/>
        <v>1.0796299638540363E-2</v>
      </c>
      <c r="K69" s="84">
        <f t="shared" si="16"/>
        <v>2.2048184881064213E-2</v>
      </c>
      <c r="L69" s="82">
        <f t="shared" si="4"/>
        <v>0.22500000000000001</v>
      </c>
      <c r="M69" s="77"/>
      <c r="N69" s="77"/>
      <c r="O69" s="77"/>
      <c r="P69" s="73"/>
      <c r="Q69" s="73"/>
      <c r="R69" s="79"/>
      <c r="S69" s="80"/>
      <c r="T69" s="79"/>
      <c r="U69" s="79"/>
      <c r="V69" s="79"/>
      <c r="W69" s="79"/>
      <c r="X69" s="71"/>
      <c r="Y69" s="80"/>
      <c r="Z69" s="79"/>
      <c r="AA69" s="79"/>
      <c r="AB69" s="73"/>
      <c r="AC69" s="79"/>
      <c r="AD69" s="71"/>
      <c r="AE69" s="80"/>
      <c r="AF69" s="79"/>
      <c r="AG69" s="79"/>
      <c r="AH69" s="79"/>
      <c r="AI69" s="79"/>
      <c r="AJ69" s="71"/>
      <c r="AK69" s="72"/>
      <c r="AL69" s="73"/>
      <c r="AM69" s="74"/>
      <c r="AN69" s="75">
        <v>0.5</v>
      </c>
    </row>
    <row r="70" spans="1:40" ht="15.6" x14ac:dyDescent="0.3">
      <c r="A70" s="29">
        <v>1844</v>
      </c>
      <c r="B70" s="76">
        <v>35.592447999999997</v>
      </c>
      <c r="C70" s="82">
        <f t="shared" si="11"/>
        <v>23.761740963734496</v>
      </c>
      <c r="D70" s="73">
        <f t="shared" si="12"/>
        <v>0.6676062563534404</v>
      </c>
      <c r="E70" s="73">
        <f t="shared" si="12"/>
        <v>0.3269642885758936</v>
      </c>
      <c r="F70" s="73">
        <f t="shared" si="13"/>
        <v>1.0733208619058132E-2</v>
      </c>
      <c r="G70" s="73">
        <v>4.0495838969945908E-2</v>
      </c>
      <c r="H70" s="73">
        <v>1.8545592203736305E-2</v>
      </c>
      <c r="I70" s="82">
        <v>0.25</v>
      </c>
      <c r="J70" s="83">
        <f t="shared" si="17"/>
        <v>1.0719921909662981E-2</v>
      </c>
      <c r="K70" s="84">
        <f t="shared" si="16"/>
        <v>2.188828316903528E-2</v>
      </c>
      <c r="L70" s="82">
        <f t="shared" si="4"/>
        <v>0.22500000000000001</v>
      </c>
      <c r="M70" s="77"/>
      <c r="N70" s="77"/>
      <c r="O70" s="77"/>
      <c r="P70" s="73"/>
      <c r="Q70" s="73"/>
      <c r="R70" s="79"/>
      <c r="S70" s="80"/>
      <c r="T70" s="79"/>
      <c r="U70" s="79"/>
      <c r="V70" s="79"/>
      <c r="W70" s="79"/>
      <c r="X70" s="71"/>
      <c r="Y70" s="80"/>
      <c r="Z70" s="79"/>
      <c r="AA70" s="79"/>
      <c r="AB70" s="73"/>
      <c r="AC70" s="79"/>
      <c r="AD70" s="71"/>
      <c r="AE70" s="80"/>
      <c r="AF70" s="79"/>
      <c r="AG70" s="79"/>
      <c r="AH70" s="79"/>
      <c r="AI70" s="79"/>
      <c r="AJ70" s="71"/>
      <c r="AK70" s="72"/>
      <c r="AL70" s="73"/>
      <c r="AM70" s="74"/>
      <c r="AN70" s="75">
        <v>0.5</v>
      </c>
    </row>
    <row r="71" spans="1:40" ht="15.6" x14ac:dyDescent="0.3">
      <c r="A71" s="29">
        <v>1845</v>
      </c>
      <c r="B71" s="76">
        <v>35.831719999999997</v>
      </c>
      <c r="C71" s="82">
        <f t="shared" si="11"/>
        <v>23.930488150966596</v>
      </c>
      <c r="D71" s="73">
        <f t="shared" si="12"/>
        <v>0.66785764543166215</v>
      </c>
      <c r="E71" s="73">
        <f t="shared" si="12"/>
        <v>0.32714603488702271</v>
      </c>
      <c r="F71" s="73">
        <f t="shared" si="13"/>
        <v>1.0733208619058132E-2</v>
      </c>
      <c r="G71" s="73">
        <v>4.0495209395885468E-2</v>
      </c>
      <c r="H71" s="73">
        <v>1.8567124381661415E-2</v>
      </c>
      <c r="I71" s="82">
        <v>0.25</v>
      </c>
      <c r="J71" s="83">
        <f t="shared" si="17"/>
        <v>1.0644563307167039E-2</v>
      </c>
      <c r="K71" s="84">
        <f t="shared" si="16"/>
        <v>2.1730518572318631E-2</v>
      </c>
      <c r="L71" s="82">
        <f t="shared" si="4"/>
        <v>0.22500000000000001</v>
      </c>
      <c r="M71" s="77"/>
      <c r="N71" s="77"/>
      <c r="O71" s="77"/>
      <c r="P71" s="73"/>
      <c r="Q71" s="73"/>
      <c r="R71" s="79"/>
      <c r="S71" s="80"/>
      <c r="T71" s="79"/>
      <c r="U71" s="79"/>
      <c r="V71" s="79"/>
      <c r="W71" s="79"/>
      <c r="X71" s="71"/>
      <c r="Y71" s="80"/>
      <c r="Z71" s="79"/>
      <c r="AA71" s="79"/>
      <c r="AB71" s="73"/>
      <c r="AC71" s="79"/>
      <c r="AD71" s="71"/>
      <c r="AE71" s="80"/>
      <c r="AF71" s="79"/>
      <c r="AG71" s="79"/>
      <c r="AH71" s="79"/>
      <c r="AI71" s="79"/>
      <c r="AJ71" s="71"/>
      <c r="AK71" s="72"/>
      <c r="AL71" s="73"/>
      <c r="AM71" s="74"/>
      <c r="AN71" s="75">
        <v>0.5</v>
      </c>
    </row>
    <row r="72" spans="1:40" ht="15.6" x14ac:dyDescent="0.3">
      <c r="A72" s="29">
        <v>1846</v>
      </c>
      <c r="B72" s="76">
        <v>36.070985999999998</v>
      </c>
      <c r="C72" s="82">
        <f t="shared" si="11"/>
        <v>24.099355044805559</v>
      </c>
      <c r="D72" s="73">
        <f t="shared" si="12"/>
        <v>0.66810912917117271</v>
      </c>
      <c r="E72" s="73">
        <f t="shared" si="12"/>
        <v>0.32732788222362391</v>
      </c>
      <c r="F72" s="73">
        <f t="shared" si="13"/>
        <v>1.0733208619058132E-2</v>
      </c>
      <c r="G72" s="73">
        <v>4.0494568645954132E-2</v>
      </c>
      <c r="H72" s="73">
        <v>1.8588347360491753E-2</v>
      </c>
      <c r="I72" s="82">
        <v>0.25</v>
      </c>
      <c r="J72" s="83">
        <f t="shared" si="17"/>
        <v>1.0570204228942502E-2</v>
      </c>
      <c r="K72" s="84">
        <f t="shared" si="16"/>
        <v>2.1574849947355139E-2</v>
      </c>
      <c r="L72" s="82">
        <f t="shared" si="4"/>
        <v>0.22500000000000001</v>
      </c>
      <c r="M72" s="77"/>
      <c r="N72" s="77"/>
      <c r="O72" s="77"/>
      <c r="P72" s="73"/>
      <c r="Q72" s="73"/>
      <c r="R72" s="79"/>
      <c r="S72" s="80"/>
      <c r="T72" s="79"/>
      <c r="U72" s="79"/>
      <c r="V72" s="79"/>
      <c r="W72" s="79"/>
      <c r="X72" s="71"/>
      <c r="Y72" s="80"/>
      <c r="Z72" s="79"/>
      <c r="AA72" s="79"/>
      <c r="AB72" s="73"/>
      <c r="AC72" s="79"/>
      <c r="AD72" s="71"/>
      <c r="AE72" s="80"/>
      <c r="AF72" s="79"/>
      <c r="AG72" s="79"/>
      <c r="AH72" s="79"/>
      <c r="AI72" s="79"/>
      <c r="AJ72" s="71"/>
      <c r="AK72" s="72"/>
      <c r="AL72" s="73"/>
      <c r="AM72" s="74"/>
      <c r="AN72" s="75">
        <v>0.5</v>
      </c>
    </row>
    <row r="73" spans="1:40" ht="15.6" x14ac:dyDescent="0.3">
      <c r="A73" s="29">
        <v>1847</v>
      </c>
      <c r="B73" s="76">
        <v>36.151066999999998</v>
      </c>
      <c r="C73" s="82">
        <f t="shared" si="11"/>
        <v>24.161952720890376</v>
      </c>
      <c r="D73" s="73">
        <f t="shared" si="12"/>
        <v>0.66836070760761712</v>
      </c>
      <c r="E73" s="73">
        <f t="shared" si="12"/>
        <v>0.32750983064185324</v>
      </c>
      <c r="F73" s="73">
        <f t="shared" si="13"/>
        <v>1.0733208619058132E-2</v>
      </c>
      <c r="G73" s="73">
        <v>4.0542509406805038E-2</v>
      </c>
      <c r="H73" s="73">
        <v>1.8595384433865547E-2</v>
      </c>
      <c r="I73" s="82">
        <v>0.25</v>
      </c>
      <c r="J73" s="83">
        <f>I73/(D73*B73*(1-H73))</f>
        <v>1.054289502620631E-2</v>
      </c>
      <c r="K73" s="84">
        <f>J73*D73/E73</f>
        <v>2.151525273650089E-2</v>
      </c>
      <c r="L73" s="82">
        <f t="shared" si="4"/>
        <v>0.22500000000000001</v>
      </c>
      <c r="M73" s="82"/>
      <c r="N73" s="77"/>
      <c r="O73" s="77"/>
      <c r="P73" s="73"/>
      <c r="Q73" s="73"/>
      <c r="R73" s="79"/>
      <c r="S73" s="80"/>
      <c r="T73" s="79"/>
      <c r="U73" s="79"/>
      <c r="V73" s="79"/>
      <c r="W73" s="79"/>
      <c r="X73" s="71"/>
      <c r="Y73" s="80"/>
      <c r="Z73" s="79"/>
      <c r="AA73" s="79"/>
      <c r="AB73" s="73"/>
      <c r="AC73" s="79"/>
      <c r="AD73" s="71"/>
      <c r="AE73" s="80"/>
      <c r="AF73" s="79"/>
      <c r="AG73" s="79"/>
      <c r="AH73" s="79"/>
      <c r="AI73" s="79"/>
      <c r="AJ73" s="71"/>
      <c r="AK73" s="72"/>
      <c r="AL73" s="73"/>
      <c r="AM73" s="74"/>
      <c r="AN73" s="75">
        <v>0.5</v>
      </c>
    </row>
    <row r="74" spans="1:40" ht="15.6" x14ac:dyDescent="0.3">
      <c r="A74" s="29">
        <v>1848</v>
      </c>
      <c r="B74" s="76">
        <v>36.23115</v>
      </c>
      <c r="C74" s="82">
        <f t="shared" si="11"/>
        <v>24.224595459776058</v>
      </c>
      <c r="D74" s="73">
        <f t="shared" si="12"/>
        <v>0.66861238077665375</v>
      </c>
      <c r="E74" s="73">
        <f t="shared" si="12"/>
        <v>0.32769188019789786</v>
      </c>
      <c r="F74" s="73">
        <f t="shared" si="13"/>
        <v>1.0733208619058132E-2</v>
      </c>
      <c r="G74" s="73">
        <v>4.0590263903141022E-2</v>
      </c>
      <c r="H74" s="73">
        <v>1.8602389842271805E-2</v>
      </c>
      <c r="I74" s="82">
        <f t="shared" ref="I74:I84" si="18">(1-H74)*(1-F74)*(1-(1+3/18)*(1-D74))*B74*(E74/D74)</f>
        <v>10.574557654279793</v>
      </c>
      <c r="J74" s="73">
        <f>K74*E74/D74</f>
        <v>0.45806826740301299</v>
      </c>
      <c r="K74" s="74">
        <f>(1-F74)*(1-(3/18)*(1-D74))</f>
        <v>0.93462833025220038</v>
      </c>
      <c r="L74" s="82">
        <v>9.395035</v>
      </c>
      <c r="M74" s="82">
        <v>7.8353216999999997</v>
      </c>
      <c r="N74" s="77"/>
      <c r="O74" s="73">
        <f>L74/I74</f>
        <v>0.88845654893163206</v>
      </c>
      <c r="P74" s="83">
        <f>M74/L74</f>
        <v>0.83398536567452908</v>
      </c>
      <c r="Q74" s="83">
        <f>P74*O74</f>
        <v>0.74095975984667728</v>
      </c>
      <c r="R74" s="79"/>
      <c r="S74" s="76">
        <v>10.017702</v>
      </c>
      <c r="T74" s="82">
        <v>7.4932569999999998</v>
      </c>
      <c r="U74" s="79"/>
      <c r="V74" s="73">
        <f>T74/S74</f>
        <v>0.74800158758964874</v>
      </c>
      <c r="W74" s="83">
        <f>V74*S74/I74</f>
        <v>0.70861186301890244</v>
      </c>
      <c r="X74" s="71"/>
      <c r="Y74" s="80"/>
      <c r="Z74" s="79"/>
      <c r="AA74" s="79"/>
      <c r="AB74" s="73"/>
      <c r="AC74" s="79"/>
      <c r="AD74" s="71"/>
      <c r="AE74" s="80"/>
      <c r="AF74" s="79"/>
      <c r="AG74" s="79"/>
      <c r="AH74" s="79"/>
      <c r="AI74" s="79"/>
      <c r="AJ74" s="71"/>
      <c r="AK74" s="72"/>
      <c r="AL74" s="73"/>
      <c r="AM74" s="74"/>
      <c r="AN74" s="75">
        <v>0.5</v>
      </c>
    </row>
    <row r="75" spans="1:40" ht="15.6" x14ac:dyDescent="0.3">
      <c r="A75" s="29">
        <v>1849</v>
      </c>
      <c r="B75" s="76">
        <v>36.311224000000003</v>
      </c>
      <c r="C75" s="82">
        <f t="shared" si="11"/>
        <v>24.287275929521712</v>
      </c>
      <c r="D75" s="73">
        <f t="shared" si="12"/>
        <v>0.66886414871395439</v>
      </c>
      <c r="E75" s="73">
        <f t="shared" si="12"/>
        <v>0.32787403094797624</v>
      </c>
      <c r="F75" s="73">
        <f t="shared" si="13"/>
        <v>1.0733208619058132E-2</v>
      </c>
      <c r="G75" s="73">
        <v>4.0637791156768799E-2</v>
      </c>
      <c r="H75" s="73">
        <v>1.8609397113323212E-2</v>
      </c>
      <c r="I75" s="82">
        <f t="shared" si="18"/>
        <v>10.604828125106227</v>
      </c>
      <c r="J75" s="73">
        <f t="shared" ref="J75:J138" si="19">K75*E75/D75</f>
        <v>0.45817071976048634</v>
      </c>
      <c r="K75" s="74">
        <f t="shared" ref="K75:K138" si="20">(1-F75)*(1-(3/18)*(1-D75))</f>
        <v>0.93466984119545138</v>
      </c>
      <c r="L75" s="82">
        <v>9.9391490000000005</v>
      </c>
      <c r="M75" s="82">
        <v>6.7694879999999999</v>
      </c>
      <c r="N75" s="77"/>
      <c r="O75" s="73">
        <f>L75/I75</f>
        <v>0.93722867384052411</v>
      </c>
      <c r="P75" s="83">
        <f>M75/L75</f>
        <v>0.68109332096741881</v>
      </c>
      <c r="Q75" s="83">
        <f>P75*O75</f>
        <v>0.63834018997193231</v>
      </c>
      <c r="R75" s="79"/>
      <c r="S75" s="80"/>
      <c r="T75" s="79"/>
      <c r="U75" s="79"/>
      <c r="V75" s="79"/>
      <c r="W75" s="79"/>
      <c r="X75" s="71"/>
      <c r="Y75" s="80"/>
      <c r="Z75" s="79"/>
      <c r="AA75" s="79"/>
      <c r="AB75" s="73"/>
      <c r="AC75" s="79"/>
      <c r="AD75" s="71"/>
      <c r="AE75" s="80"/>
      <c r="AF75" s="79"/>
      <c r="AG75" s="79"/>
      <c r="AH75" s="79"/>
      <c r="AI75" s="79"/>
      <c r="AJ75" s="71"/>
      <c r="AK75" s="72"/>
      <c r="AL75" s="73"/>
      <c r="AM75" s="74"/>
      <c r="AN75" s="75">
        <v>0.5</v>
      </c>
    </row>
    <row r="76" spans="1:40" ht="15.6" x14ac:dyDescent="0.3">
      <c r="A76" s="29">
        <v>1850</v>
      </c>
      <c r="B76" s="76">
        <v>36.391306999999998</v>
      </c>
      <c r="C76" s="82">
        <f t="shared" si="11"/>
        <v>24.350006191481857</v>
      </c>
      <c r="D76" s="73">
        <f>D77/((D$97/D$77)^(1/20))</f>
        <v>0.66911601145520438</v>
      </c>
      <c r="E76" s="73">
        <f>E77/((E$97/E$77)^(1/20))</f>
        <v>0.32805628294833805</v>
      </c>
      <c r="F76" s="73">
        <f>F77</f>
        <v>1.0733208619058132E-2</v>
      </c>
      <c r="G76" s="73">
        <v>4.0685128420591354E-2</v>
      </c>
      <c r="H76" s="73">
        <v>1.8616341054439545E-2</v>
      </c>
      <c r="I76" s="82">
        <f>0.7*(1-H76)*(1-F76)*(1-(1+3/18)*(1-D76))*B76*(E76/D76)</f>
        <v>7.4445954269860781</v>
      </c>
      <c r="J76" s="73">
        <f>0.7*K76*E76/D76</f>
        <v>0.22455386887825449</v>
      </c>
      <c r="K76" s="74">
        <f>0.7*(1-F76)*(1-(3/18)*(1-D76))</f>
        <v>0.65429795743883812</v>
      </c>
      <c r="L76" s="82">
        <f>O76*I76</f>
        <v>6.9161450268565439</v>
      </c>
      <c r="M76" s="77"/>
      <c r="N76" s="77"/>
      <c r="O76" s="73">
        <f>(O$75+O$78)/2</f>
        <v>0.92901556500787907</v>
      </c>
      <c r="P76" s="73"/>
      <c r="Q76" s="73"/>
      <c r="R76" s="79"/>
      <c r="S76" s="80"/>
      <c r="T76" s="79"/>
      <c r="U76" s="79"/>
      <c r="V76" s="79"/>
      <c r="W76" s="79"/>
      <c r="X76" s="71"/>
      <c r="Y76" s="80"/>
      <c r="Z76" s="79"/>
      <c r="AA76" s="79"/>
      <c r="AB76" s="73"/>
      <c r="AC76" s="79"/>
      <c r="AD76" s="71"/>
      <c r="AE76" s="80"/>
      <c r="AF76" s="79"/>
      <c r="AG76" s="79"/>
      <c r="AH76" s="79"/>
      <c r="AI76" s="79"/>
      <c r="AJ76" s="71"/>
      <c r="AK76" s="72"/>
      <c r="AL76" s="73"/>
      <c r="AM76" s="74"/>
      <c r="AN76" s="75">
        <v>0.5</v>
      </c>
    </row>
    <row r="77" spans="1:40" ht="15.6" x14ac:dyDescent="0.3">
      <c r="A77" s="29">
        <v>1851</v>
      </c>
      <c r="B77" s="76">
        <v>36.471387999999997</v>
      </c>
      <c r="C77" s="82">
        <f t="shared" si="11"/>
        <v>24.412778913487671</v>
      </c>
      <c r="D77" s="73">
        <v>0.66936796903610229</v>
      </c>
      <c r="E77" s="73">
        <v>0.32823863625526428</v>
      </c>
      <c r="F77" s="73">
        <v>1.0733208619058132E-2</v>
      </c>
      <c r="G77" s="73">
        <v>4.0732230991125107E-2</v>
      </c>
      <c r="H77" s="73">
        <v>1.8623257055878639E-2</v>
      </c>
      <c r="I77" s="82">
        <f>0.7*(1-H77)*(1-F77)*(1-(1+3/18)*(1-D77))*B77*(E77/D77)</f>
        <v>7.4658350829234283</v>
      </c>
      <c r="J77" s="73">
        <f>0.7*K77*E77/D77</f>
        <v>0.22460409962001193</v>
      </c>
      <c r="K77" s="74">
        <f>0.7*(1-F77)*(1-(3/18)*(1-D77))</f>
        <v>0.65432703698672701</v>
      </c>
      <c r="L77" s="82">
        <f>O77*I77</f>
        <v>6.9358769978177541</v>
      </c>
      <c r="M77" s="77"/>
      <c r="N77" s="77"/>
      <c r="O77" s="73">
        <f>(O$75+O$78)/2</f>
        <v>0.92901556500787907</v>
      </c>
      <c r="P77" s="73"/>
      <c r="Q77" s="73"/>
      <c r="R77" s="79"/>
      <c r="S77" s="80"/>
      <c r="T77" s="79"/>
      <c r="U77" s="79"/>
      <c r="V77" s="79"/>
      <c r="W77" s="79"/>
      <c r="X77" s="71"/>
      <c r="Y77" s="76">
        <v>9.890255999999999</v>
      </c>
      <c r="Z77" s="82">
        <f>AB77*Y77</f>
        <v>7.7270889999999994</v>
      </c>
      <c r="AA77" s="82">
        <f>(1-AC77)*Z77</f>
        <v>7.6938429999999993</v>
      </c>
      <c r="AB77" s="73">
        <v>0.78128301229007624</v>
      </c>
      <c r="AC77" s="85">
        <v>4.3025258282906043E-3</v>
      </c>
      <c r="AD77" s="86">
        <v>0.92291576524241525</v>
      </c>
      <c r="AE77" s="80"/>
      <c r="AF77" s="79"/>
      <c r="AG77" s="79"/>
      <c r="AH77" s="79"/>
      <c r="AI77" s="79"/>
      <c r="AJ77" s="71"/>
      <c r="AK77" s="72"/>
      <c r="AL77" s="73"/>
      <c r="AM77" s="74"/>
      <c r="AN77" s="75">
        <v>0.5</v>
      </c>
    </row>
    <row r="78" spans="1:40" ht="15.6" x14ac:dyDescent="0.3">
      <c r="A78" s="29">
        <v>1852</v>
      </c>
      <c r="B78" s="76">
        <v>36.523843999999997</v>
      </c>
      <c r="C78" s="82">
        <f t="shared" si="11"/>
        <v>24.453706021957871</v>
      </c>
      <c r="D78" s="73">
        <v>0.66952717304229736</v>
      </c>
      <c r="E78" s="73">
        <v>0.32837221026420593</v>
      </c>
      <c r="F78" s="73">
        <v>1.1030650697648525E-2</v>
      </c>
      <c r="G78" s="73">
        <v>4.0520131587982178E-2</v>
      </c>
      <c r="H78" s="73">
        <v>1.8679086118936539E-2</v>
      </c>
      <c r="I78" s="82">
        <f t="shared" si="18"/>
        <v>10.682033843454633</v>
      </c>
      <c r="J78" s="73">
        <f t="shared" si="19"/>
        <v>0.45832823355804081</v>
      </c>
      <c r="K78" s="74">
        <f t="shared" si="20"/>
        <v>0.9344980998626069</v>
      </c>
      <c r="L78" s="82">
        <v>9.8360430000000001</v>
      </c>
      <c r="M78" s="82">
        <v>6.2229830000000002</v>
      </c>
      <c r="N78" s="77"/>
      <c r="O78" s="73">
        <f>L78/I78</f>
        <v>0.92080245617523393</v>
      </c>
      <c r="P78" s="83">
        <f>M78/L78</f>
        <v>0.63267139031417408</v>
      </c>
      <c r="Q78" s="83">
        <f>P78*O78</f>
        <v>0.58256537015309162</v>
      </c>
      <c r="R78" s="79"/>
      <c r="S78" s="80"/>
      <c r="T78" s="79"/>
      <c r="U78" s="79"/>
      <c r="V78" s="79"/>
      <c r="W78" s="79"/>
      <c r="X78" s="71"/>
      <c r="Y78" s="76">
        <v>9.8552230000000005</v>
      </c>
      <c r="Z78" s="82">
        <f>AB78*Y78</f>
        <v>7.7343840000000004</v>
      </c>
      <c r="AA78" s="82">
        <f>(1-AC78)*Z78</f>
        <v>7.6756650000000004</v>
      </c>
      <c r="AB78" s="73">
        <v>0.78480050628991349</v>
      </c>
      <c r="AC78" s="85">
        <v>7.5919426808909174E-3</v>
      </c>
      <c r="AD78" s="86">
        <v>0.96882380875142415</v>
      </c>
      <c r="AE78" s="80"/>
      <c r="AF78" s="79"/>
      <c r="AG78" s="79"/>
      <c r="AH78" s="79"/>
      <c r="AI78" s="79"/>
      <c r="AJ78" s="71"/>
      <c r="AK78" s="72"/>
      <c r="AL78" s="73"/>
      <c r="AM78" s="74"/>
      <c r="AN78" s="75">
        <v>0.5</v>
      </c>
    </row>
    <row r="79" spans="1:40" ht="15.6" x14ac:dyDescent="0.3">
      <c r="A79" s="29">
        <v>1853</v>
      </c>
      <c r="B79" s="76">
        <v>36.576293</v>
      </c>
      <c r="C79" s="82">
        <f t="shared" si="11"/>
        <v>24.494636424566327</v>
      </c>
      <c r="D79" s="73">
        <v>0.66968613862991333</v>
      </c>
      <c r="E79" s="73">
        <v>0.3285057544708252</v>
      </c>
      <c r="F79" s="73">
        <v>1.1326485313475132E-2</v>
      </c>
      <c r="G79" s="73">
        <v>4.0308624505996704E-2</v>
      </c>
      <c r="H79" s="73">
        <v>1.8734702840447426E-2</v>
      </c>
      <c r="I79" s="82">
        <f t="shared" si="18"/>
        <v>10.69860513965979</v>
      </c>
      <c r="J79" s="73">
        <f t="shared" si="19"/>
        <v>0.4582815142079551</v>
      </c>
      <c r="K79" s="74">
        <f t="shared" si="20"/>
        <v>0.93424475364145132</v>
      </c>
      <c r="L79" s="77"/>
      <c r="M79" s="77"/>
      <c r="N79" s="77"/>
      <c r="O79" s="77"/>
      <c r="P79" s="73"/>
      <c r="Q79" s="73"/>
      <c r="R79" s="79"/>
      <c r="S79" s="80"/>
      <c r="T79" s="79"/>
      <c r="U79" s="79"/>
      <c r="V79" s="79"/>
      <c r="W79" s="79"/>
      <c r="X79" s="71"/>
      <c r="Y79" s="80"/>
      <c r="Z79" s="79"/>
      <c r="AA79" s="79"/>
      <c r="AB79" s="73"/>
      <c r="AC79" s="79"/>
      <c r="AD79" s="71"/>
      <c r="AE79" s="80"/>
      <c r="AF79" s="79"/>
      <c r="AG79" s="79"/>
      <c r="AH79" s="79"/>
      <c r="AI79" s="79"/>
      <c r="AJ79" s="71"/>
      <c r="AK79" s="72"/>
      <c r="AL79" s="73"/>
      <c r="AM79" s="74"/>
      <c r="AN79" s="75">
        <v>0.5</v>
      </c>
    </row>
    <row r="80" spans="1:40" ht="15.6" x14ac:dyDescent="0.3">
      <c r="A80" s="29">
        <v>1854</v>
      </c>
      <c r="B80" s="76">
        <v>36.628751999999999</v>
      </c>
      <c r="C80" s="82">
        <f t="shared" si="11"/>
        <v>24.535542169435502</v>
      </c>
      <c r="D80" s="73">
        <v>0.66984379291534424</v>
      </c>
      <c r="E80" s="73">
        <v>0.32863837480545044</v>
      </c>
      <c r="F80" s="73">
        <v>1.1620741337537766E-2</v>
      </c>
      <c r="G80" s="73">
        <v>4.0097735822200775E-2</v>
      </c>
      <c r="H80" s="73">
        <v>1.8790239468216896E-2</v>
      </c>
      <c r="I80" s="82">
        <f t="shared" si="18"/>
        <v>10.715162078714625</v>
      </c>
      <c r="J80" s="73">
        <f t="shared" si="19"/>
        <v>0.45823494307396051</v>
      </c>
      <c r="K80" s="74">
        <f t="shared" si="20"/>
        <v>0.93399266746227183</v>
      </c>
      <c r="L80" s="77"/>
      <c r="M80" s="77"/>
      <c r="N80" s="77"/>
      <c r="O80" s="77"/>
      <c r="P80" s="73"/>
      <c r="Q80" s="73"/>
      <c r="R80" s="79"/>
      <c r="S80" s="80"/>
      <c r="T80" s="79"/>
      <c r="U80" s="79"/>
      <c r="V80" s="79"/>
      <c r="W80" s="79"/>
      <c r="X80" s="71"/>
      <c r="Y80" s="80"/>
      <c r="Z80" s="79"/>
      <c r="AA80" s="79"/>
      <c r="AB80" s="73"/>
      <c r="AC80" s="79"/>
      <c r="AD80" s="71"/>
      <c r="AE80" s="80"/>
      <c r="AF80" s="79"/>
      <c r="AG80" s="79"/>
      <c r="AH80" s="79"/>
      <c r="AI80" s="79"/>
      <c r="AJ80" s="71"/>
      <c r="AK80" s="72"/>
      <c r="AL80" s="73"/>
      <c r="AM80" s="74"/>
      <c r="AN80" s="75">
        <v>0.5</v>
      </c>
    </row>
    <row r="81" spans="1:40" ht="15.6" x14ac:dyDescent="0.3">
      <c r="A81" s="29">
        <v>1855</v>
      </c>
      <c r="B81" s="76">
        <v>36.681201000000001</v>
      </c>
      <c r="C81" s="82">
        <f t="shared" ref="C81:C144" si="21">D81*B81</f>
        <v>24.576473059652209</v>
      </c>
      <c r="D81" s="73">
        <v>0.67000186443328857</v>
      </c>
      <c r="E81" s="73">
        <v>0.32877114415168762</v>
      </c>
      <c r="F81" s="73">
        <v>1.1913413181900978E-2</v>
      </c>
      <c r="G81" s="73">
        <v>3.9887435734272003E-2</v>
      </c>
      <c r="H81" s="73">
        <v>1.8845539540052414E-2</v>
      </c>
      <c r="I81" s="82">
        <f t="shared" si="18"/>
        <v>10.731743072258977</v>
      </c>
      <c r="J81" s="73">
        <f t="shared" si="19"/>
        <v>0.45818897713346091</v>
      </c>
      <c r="K81" s="74">
        <f t="shared" si="20"/>
        <v>0.93374213158002439</v>
      </c>
      <c r="L81" s="77"/>
      <c r="M81" s="77"/>
      <c r="N81" s="77"/>
      <c r="O81" s="77"/>
      <c r="P81" s="73"/>
      <c r="Q81" s="73"/>
      <c r="R81" s="79"/>
      <c r="S81" s="80"/>
      <c r="T81" s="79"/>
      <c r="U81" s="79"/>
      <c r="V81" s="79"/>
      <c r="W81" s="79"/>
      <c r="X81" s="71"/>
      <c r="Y81" s="80"/>
      <c r="Z81" s="79"/>
      <c r="AA81" s="79"/>
      <c r="AB81" s="73"/>
      <c r="AC81" s="79"/>
      <c r="AD81" s="71"/>
      <c r="AE81" s="80"/>
      <c r="AF81" s="79"/>
      <c r="AG81" s="79"/>
      <c r="AH81" s="79"/>
      <c r="AI81" s="79"/>
      <c r="AJ81" s="71"/>
      <c r="AK81" s="72"/>
      <c r="AL81" s="73"/>
      <c r="AM81" s="74"/>
      <c r="AN81" s="75">
        <v>0.5</v>
      </c>
    </row>
    <row r="82" spans="1:40" ht="15.6" x14ac:dyDescent="0.3">
      <c r="A82" s="29">
        <v>1856</v>
      </c>
      <c r="B82" s="76">
        <v>36.733657000000001</v>
      </c>
      <c r="C82" s="82">
        <f t="shared" si="21"/>
        <v>24.617398948415637</v>
      </c>
      <c r="D82" s="73">
        <v>0.67015922069549561</v>
      </c>
      <c r="E82" s="73">
        <v>0.32890322804450989</v>
      </c>
      <c r="F82" s="73">
        <v>1.2205195613205433E-2</v>
      </c>
      <c r="G82" s="73">
        <v>3.9677754044532776E-2</v>
      </c>
      <c r="H82" s="73">
        <v>1.8900731578469276E-2</v>
      </c>
      <c r="I82" s="82">
        <f t="shared" si="18"/>
        <v>10.748312052138163</v>
      </c>
      <c r="J82" s="73">
        <f t="shared" si="19"/>
        <v>0.45814281493644249</v>
      </c>
      <c r="K82" s="74">
        <f t="shared" si="20"/>
        <v>0.93349230304148112</v>
      </c>
      <c r="L82" s="77"/>
      <c r="M82" s="77"/>
      <c r="N82" s="77"/>
      <c r="O82" s="77"/>
      <c r="P82" s="73"/>
      <c r="Q82" s="73"/>
      <c r="R82" s="79"/>
      <c r="S82" s="80"/>
      <c r="T82" s="79"/>
      <c r="U82" s="79"/>
      <c r="V82" s="79"/>
      <c r="W82" s="79"/>
      <c r="X82" s="71"/>
      <c r="Y82" s="80"/>
      <c r="Z82" s="79"/>
      <c r="AA82" s="79"/>
      <c r="AB82" s="73"/>
      <c r="AC82" s="79"/>
      <c r="AD82" s="71"/>
      <c r="AE82" s="80"/>
      <c r="AF82" s="79"/>
      <c r="AG82" s="79"/>
      <c r="AH82" s="79"/>
      <c r="AI82" s="79"/>
      <c r="AJ82" s="71"/>
      <c r="AK82" s="72"/>
      <c r="AL82" s="73"/>
      <c r="AM82" s="74"/>
      <c r="AN82" s="75">
        <v>0.5</v>
      </c>
    </row>
    <row r="83" spans="1:40" ht="15.6" x14ac:dyDescent="0.3">
      <c r="A83" s="29">
        <v>1857</v>
      </c>
      <c r="B83" s="76">
        <v>36.873348999999997</v>
      </c>
      <c r="C83" s="82">
        <f t="shared" si="21"/>
        <v>24.727568832121012</v>
      </c>
      <c r="D83" s="73">
        <v>0.67060816287994385</v>
      </c>
      <c r="E83" s="73">
        <v>0.32908722758293152</v>
      </c>
      <c r="F83" s="73">
        <v>1.249430887401104E-2</v>
      </c>
      <c r="G83" s="73">
        <v>3.9655957370996475E-2</v>
      </c>
      <c r="H83" s="73">
        <v>1.8940726295113564E-2</v>
      </c>
      <c r="I83" s="82">
        <f t="shared" si="18"/>
        <v>10.793579656811655</v>
      </c>
      <c r="J83" s="73">
        <f t="shared" si="19"/>
        <v>0.45799442018925723</v>
      </c>
      <c r="K83" s="74">
        <f t="shared" si="20"/>
        <v>0.93329297216490559</v>
      </c>
      <c r="L83" s="82">
        <v>9.4959550000000004</v>
      </c>
      <c r="M83" s="82">
        <v>6.1366639999999997</v>
      </c>
      <c r="N83" s="77"/>
      <c r="O83" s="73">
        <f>L83/I83</f>
        <v>0.8797780997527781</v>
      </c>
      <c r="P83" s="83">
        <f>M83/L83</f>
        <v>0.64623979368057238</v>
      </c>
      <c r="Q83" s="83">
        <f>P83*O83</f>
        <v>0.56854761766892137</v>
      </c>
      <c r="R83" s="79"/>
      <c r="S83" s="80"/>
      <c r="T83" s="79"/>
      <c r="U83" s="79"/>
      <c r="V83" s="79"/>
      <c r="W83" s="79"/>
      <c r="X83" s="71"/>
      <c r="Y83" s="80"/>
      <c r="Z83" s="79"/>
      <c r="AA83" s="79"/>
      <c r="AB83" s="73"/>
      <c r="AC83" s="79"/>
      <c r="AD83" s="71"/>
      <c r="AE83" s="80"/>
      <c r="AF83" s="79"/>
      <c r="AG83" s="79"/>
      <c r="AH83" s="79"/>
      <c r="AI83" s="79"/>
      <c r="AJ83" s="71"/>
      <c r="AK83" s="72"/>
      <c r="AL83" s="73"/>
      <c r="AM83" s="74"/>
      <c r="AN83" s="75">
        <v>0.5</v>
      </c>
    </row>
    <row r="84" spans="1:40" ht="15.6" x14ac:dyDescent="0.3">
      <c r="A84" s="29">
        <v>1858</v>
      </c>
      <c r="B84" s="76">
        <v>37.013044999999998</v>
      </c>
      <c r="C84" s="82">
        <f t="shared" si="21"/>
        <v>24.837787405939697</v>
      </c>
      <c r="D84" s="73">
        <v>0.67105495929718018</v>
      </c>
      <c r="E84" s="73">
        <v>0.32927045226097107</v>
      </c>
      <c r="F84" s="73">
        <v>1.2782658450305462E-2</v>
      </c>
      <c r="G84" s="73">
        <v>3.9634350687265396E-2</v>
      </c>
      <c r="H84" s="73">
        <v>1.8980469554662704E-2</v>
      </c>
      <c r="I84" s="82">
        <f t="shared" si="18"/>
        <v>10.838852479339655</v>
      </c>
      <c r="J84" s="73">
        <f t="shared" si="19"/>
        <v>0.45784666097467192</v>
      </c>
      <c r="K84" s="74">
        <f t="shared" si="20"/>
        <v>0.93309396678326229</v>
      </c>
      <c r="L84" s="82"/>
      <c r="M84" s="82"/>
      <c r="N84" s="77"/>
      <c r="O84" s="77"/>
      <c r="P84" s="73"/>
      <c r="Q84" s="73"/>
      <c r="R84" s="79"/>
      <c r="S84" s="80"/>
      <c r="T84" s="79"/>
      <c r="U84" s="79"/>
      <c r="V84" s="79"/>
      <c r="W84" s="79"/>
      <c r="X84" s="71"/>
      <c r="Y84" s="80"/>
      <c r="Z84" s="79"/>
      <c r="AA84" s="79"/>
      <c r="AB84" s="73"/>
      <c r="AC84" s="79"/>
      <c r="AD84" s="71"/>
      <c r="AE84" s="80"/>
      <c r="AF84" s="79"/>
      <c r="AG84" s="79"/>
      <c r="AH84" s="79"/>
      <c r="AI84" s="79"/>
      <c r="AJ84" s="71"/>
      <c r="AK84" s="72"/>
      <c r="AL84" s="73"/>
      <c r="AM84" s="74"/>
      <c r="AN84" s="75">
        <v>0.5</v>
      </c>
    </row>
    <row r="85" spans="1:40" ht="15.6" x14ac:dyDescent="0.3">
      <c r="A85" s="29">
        <v>1859</v>
      </c>
      <c r="B85" s="76">
        <v>37.152737000000002</v>
      </c>
      <c r="C85" s="82">
        <f t="shared" si="21"/>
        <v>24.947977540748955</v>
      </c>
      <c r="D85" s="73">
        <v>0.67149770259857178</v>
      </c>
      <c r="E85" s="73">
        <v>0.32945191860198975</v>
      </c>
      <c r="F85" s="73">
        <v>1.3069153763353825E-2</v>
      </c>
      <c r="G85" s="73">
        <v>3.9612855762243271E-2</v>
      </c>
      <c r="H85" s="73">
        <v>1.9019836559891701E-2</v>
      </c>
      <c r="I85" s="82">
        <f>(1-H85)*(1-F85)*(1-(1+3/18)*(1-D85))*B85*(E85/D85)</f>
        <v>10.884100478777805</v>
      </c>
      <c r="J85" s="73">
        <f t="shared" si="19"/>
        <v>0.45769982138777066</v>
      </c>
      <c r="K85" s="74">
        <f t="shared" si="20"/>
        <v>0.9328960045091339</v>
      </c>
      <c r="L85" s="82"/>
      <c r="M85" s="82"/>
      <c r="N85" s="77"/>
      <c r="O85" s="77"/>
      <c r="P85" s="73"/>
      <c r="Q85" s="73"/>
      <c r="R85" s="79"/>
      <c r="S85" s="80"/>
      <c r="T85" s="79"/>
      <c r="U85" s="79"/>
      <c r="V85" s="79"/>
      <c r="W85" s="79"/>
      <c r="X85" s="71"/>
      <c r="Y85" s="80"/>
      <c r="Z85" s="79"/>
      <c r="AA85" s="79"/>
      <c r="AB85" s="73"/>
      <c r="AC85" s="79"/>
      <c r="AD85" s="71"/>
      <c r="AE85" s="80"/>
      <c r="AF85" s="79"/>
      <c r="AG85" s="79"/>
      <c r="AH85" s="79"/>
      <c r="AI85" s="79"/>
      <c r="AJ85" s="71"/>
      <c r="AK85" s="72"/>
      <c r="AL85" s="73"/>
      <c r="AM85" s="74"/>
      <c r="AN85" s="75">
        <v>0.5</v>
      </c>
    </row>
    <row r="86" spans="1:40" ht="15.6" x14ac:dyDescent="0.3">
      <c r="A86" s="29">
        <v>1860</v>
      </c>
      <c r="B86" s="76">
        <v>37.292433000000003</v>
      </c>
      <c r="C86" s="82">
        <f t="shared" si="21"/>
        <v>25.058207369427862</v>
      </c>
      <c r="D86" s="73">
        <v>0.67193812131881714</v>
      </c>
      <c r="E86" s="73">
        <v>0.32963258028030396</v>
      </c>
      <c r="F86" s="73">
        <v>1.3354622758924961E-2</v>
      </c>
      <c r="G86" s="73">
        <v>3.9591569453477859E-2</v>
      </c>
      <c r="H86" s="73">
        <v>1.9058987498283386E-2</v>
      </c>
      <c r="I86" s="82">
        <f t="shared" ref="I86:I96" si="22">(1-F86)*(1-(1+3/18)*(1-D86))*B86*(E86/D86)</f>
        <v>11.141703333640706</v>
      </c>
      <c r="J86" s="73">
        <f t="shared" si="19"/>
        <v>0.45755380205197832</v>
      </c>
      <c r="K86" s="74">
        <f t="shared" si="20"/>
        <v>0.93269858789943982</v>
      </c>
      <c r="L86" s="82"/>
      <c r="M86" s="82"/>
      <c r="N86" s="77"/>
      <c r="O86" s="77"/>
      <c r="P86" s="73"/>
      <c r="Q86" s="73"/>
      <c r="R86" s="79"/>
      <c r="S86" s="80"/>
      <c r="T86" s="79"/>
      <c r="U86" s="79"/>
      <c r="V86" s="79"/>
      <c r="W86" s="79"/>
      <c r="X86" s="71"/>
      <c r="Y86" s="80"/>
      <c r="Z86" s="79"/>
      <c r="AA86" s="79"/>
      <c r="AB86" s="73"/>
      <c r="AC86" s="79"/>
      <c r="AD86" s="71"/>
      <c r="AE86" s="80"/>
      <c r="AF86" s="79"/>
      <c r="AG86" s="79"/>
      <c r="AH86" s="79"/>
      <c r="AI86" s="79"/>
      <c r="AJ86" s="71"/>
      <c r="AK86" s="72"/>
      <c r="AL86" s="73"/>
      <c r="AM86" s="74"/>
      <c r="AN86" s="75">
        <v>0.5</v>
      </c>
    </row>
    <row r="87" spans="1:40" ht="15.6" x14ac:dyDescent="0.3">
      <c r="A87" s="29">
        <v>1861</v>
      </c>
      <c r="B87" s="76">
        <v>37.432124999999999</v>
      </c>
      <c r="C87" s="82">
        <f t="shared" si="21"/>
        <v>25.168392454549668</v>
      </c>
      <c r="D87" s="73">
        <v>0.67237412929534912</v>
      </c>
      <c r="E87" s="73">
        <v>0.32981139421463013</v>
      </c>
      <c r="F87" s="73">
        <v>1.3638258911669254E-2</v>
      </c>
      <c r="G87" s="73">
        <v>3.9570420980453491E-2</v>
      </c>
      <c r="H87" s="73">
        <v>1.9097793847322464E-2</v>
      </c>
      <c r="I87" s="82">
        <f t="shared" si="22"/>
        <v>11.188247051700388</v>
      </c>
      <c r="J87" s="73">
        <f t="shared" si="19"/>
        <v>0.45740877961736259</v>
      </c>
      <c r="K87" s="74">
        <f t="shared" si="20"/>
        <v>0.93250213704602747</v>
      </c>
      <c r="L87" s="82"/>
      <c r="M87" s="82"/>
      <c r="N87" s="77"/>
      <c r="O87" s="77"/>
      <c r="P87" s="73"/>
      <c r="Q87" s="73"/>
      <c r="R87" s="79"/>
      <c r="S87" s="80"/>
      <c r="T87" s="79"/>
      <c r="U87" s="79"/>
      <c r="V87" s="79"/>
      <c r="W87" s="79"/>
      <c r="X87" s="71"/>
      <c r="Y87" s="80"/>
      <c r="Z87" s="79"/>
      <c r="AA87" s="79"/>
      <c r="AB87" s="73"/>
      <c r="AC87" s="79"/>
      <c r="AD87" s="71"/>
      <c r="AE87" s="80"/>
      <c r="AF87" s="79"/>
      <c r="AG87" s="79"/>
      <c r="AH87" s="79"/>
      <c r="AI87" s="79"/>
      <c r="AJ87" s="71"/>
      <c r="AK87" s="72"/>
      <c r="AL87" s="73"/>
      <c r="AM87" s="74"/>
      <c r="AN87" s="75">
        <v>0.5</v>
      </c>
    </row>
    <row r="88" spans="1:40" ht="15.6" x14ac:dyDescent="0.3">
      <c r="A88" s="29">
        <v>1862</v>
      </c>
      <c r="B88" s="76">
        <v>37.545686000000003</v>
      </c>
      <c r="C88" s="82">
        <f t="shared" si="21"/>
        <v>25.26110920003784</v>
      </c>
      <c r="D88" s="73">
        <v>0.672809898853302</v>
      </c>
      <c r="E88" s="73">
        <v>0.32999017834663391</v>
      </c>
      <c r="F88" s="73">
        <v>1.439222414046526E-2</v>
      </c>
      <c r="G88" s="73">
        <v>3.9611529558897018E-2</v>
      </c>
      <c r="H88" s="73">
        <v>1.9196532666683197E-2</v>
      </c>
      <c r="I88" s="82">
        <f t="shared" si="22"/>
        <v>11.221650826684922</v>
      </c>
      <c r="J88" s="73">
        <f t="shared" si="19"/>
        <v>0.45704582112965153</v>
      </c>
      <c r="K88" s="74">
        <f t="shared" si="20"/>
        <v>0.93186092454712588</v>
      </c>
      <c r="L88" s="82"/>
      <c r="M88" s="82"/>
      <c r="N88" s="77"/>
      <c r="O88" s="77"/>
      <c r="P88" s="73"/>
      <c r="Q88" s="73"/>
      <c r="R88" s="79"/>
      <c r="S88" s="80"/>
      <c r="T88" s="79"/>
      <c r="U88" s="79"/>
      <c r="V88" s="79"/>
      <c r="W88" s="79"/>
      <c r="X88" s="71"/>
      <c r="Y88" s="80"/>
      <c r="Z88" s="79"/>
      <c r="AA88" s="79"/>
      <c r="AB88" s="73"/>
      <c r="AC88" s="79"/>
      <c r="AD88" s="71"/>
      <c r="AE88" s="80"/>
      <c r="AF88" s="79"/>
      <c r="AG88" s="79"/>
      <c r="AH88" s="79"/>
      <c r="AI88" s="79"/>
      <c r="AJ88" s="71"/>
      <c r="AK88" s="72"/>
      <c r="AL88" s="73"/>
      <c r="AM88" s="74"/>
      <c r="AN88" s="75">
        <v>0.5</v>
      </c>
    </row>
    <row r="89" spans="1:40" ht="15.6" x14ac:dyDescent="0.3">
      <c r="A89" s="29">
        <v>1863</v>
      </c>
      <c r="B89" s="76">
        <v>37.659244000000001</v>
      </c>
      <c r="C89" s="82">
        <f t="shared" si="21"/>
        <v>25.353738836041927</v>
      </c>
      <c r="D89" s="73">
        <v>0.6732407808303833</v>
      </c>
      <c r="E89" s="73">
        <v>0.33016678690910339</v>
      </c>
      <c r="F89" s="73">
        <v>1.5141380950808525E-2</v>
      </c>
      <c r="G89" s="73">
        <v>3.9652388542890549E-2</v>
      </c>
      <c r="H89" s="73">
        <v>1.9294651225209236E-2</v>
      </c>
      <c r="I89" s="82">
        <f t="shared" si="22"/>
        <v>11.254996472815405</v>
      </c>
      <c r="J89" s="73">
        <f t="shared" si="19"/>
        <v>0.45668508068732439</v>
      </c>
      <c r="K89" s="74">
        <f t="shared" si="20"/>
        <v>0.93122334682369468</v>
      </c>
      <c r="L89" s="82">
        <v>10.003655</v>
      </c>
      <c r="M89" s="82">
        <v>7.2920939999999996</v>
      </c>
      <c r="N89" s="77"/>
      <c r="O89" s="73">
        <f>L89/I89</f>
        <v>0.88881902576888283</v>
      </c>
      <c r="P89" s="83">
        <f>M89/L89</f>
        <v>0.72894297134397368</v>
      </c>
      <c r="Q89" s="83">
        <f>P89*O89</f>
        <v>0.64789838163102531</v>
      </c>
      <c r="R89" s="79"/>
      <c r="S89" s="80"/>
      <c r="T89" s="79"/>
      <c r="U89" s="79"/>
      <c r="V89" s="79"/>
      <c r="W89" s="79"/>
      <c r="X89" s="71"/>
      <c r="Y89" s="80"/>
      <c r="Z89" s="79"/>
      <c r="AA89" s="79"/>
      <c r="AB89" s="73"/>
      <c r="AC89" s="79"/>
      <c r="AD89" s="71"/>
      <c r="AE89" s="80"/>
      <c r="AF89" s="79"/>
      <c r="AG89" s="79"/>
      <c r="AH89" s="79"/>
      <c r="AI89" s="79"/>
      <c r="AJ89" s="71"/>
      <c r="AK89" s="72"/>
      <c r="AL89" s="73"/>
      <c r="AM89" s="74"/>
      <c r="AN89" s="75">
        <v>0.5</v>
      </c>
    </row>
    <row r="90" spans="1:40" ht="15.6" x14ac:dyDescent="0.3">
      <c r="A90" s="29">
        <v>1864</v>
      </c>
      <c r="B90" s="76">
        <v>37.772810999999997</v>
      </c>
      <c r="C90" s="82">
        <f t="shared" si="21"/>
        <v>25.446389092187761</v>
      </c>
      <c r="D90" s="73">
        <v>0.67366945743560791</v>
      </c>
      <c r="E90" s="73">
        <v>0.3303426206111908</v>
      </c>
      <c r="F90" s="73">
        <v>1.5886321663856506E-2</v>
      </c>
      <c r="G90" s="73">
        <v>3.9693046361207962E-2</v>
      </c>
      <c r="H90" s="73">
        <v>1.939220167696476E-2</v>
      </c>
      <c r="I90" s="82">
        <f t="shared" si="22"/>
        <v>11.288340603977673</v>
      </c>
      <c r="J90" s="73">
        <f t="shared" si="19"/>
        <v>0.45632661573890243</v>
      </c>
      <c r="K90" s="74">
        <f t="shared" si="20"/>
        <v>0.93058928657006457</v>
      </c>
      <c r="L90" s="82"/>
      <c r="M90" s="82"/>
      <c r="N90" s="77"/>
      <c r="O90" s="77"/>
      <c r="P90" s="73"/>
      <c r="Q90" s="73"/>
      <c r="R90" s="79"/>
      <c r="S90" s="80"/>
      <c r="T90" s="79"/>
      <c r="U90" s="79"/>
      <c r="V90" s="79"/>
      <c r="W90" s="79"/>
      <c r="X90" s="71"/>
      <c r="Y90" s="80"/>
      <c r="Z90" s="79"/>
      <c r="AA90" s="79"/>
      <c r="AB90" s="73"/>
      <c r="AC90" s="79"/>
      <c r="AD90" s="71"/>
      <c r="AE90" s="80"/>
      <c r="AF90" s="79"/>
      <c r="AG90" s="79"/>
      <c r="AH90" s="79"/>
      <c r="AI90" s="79"/>
      <c r="AJ90" s="71"/>
      <c r="AK90" s="72"/>
      <c r="AL90" s="73"/>
      <c r="AM90" s="74"/>
      <c r="AN90" s="75">
        <v>0.5</v>
      </c>
    </row>
    <row r="91" spans="1:40" ht="15.6" x14ac:dyDescent="0.3">
      <c r="A91" s="29">
        <v>1865</v>
      </c>
      <c r="B91" s="76">
        <v>37.886369000000002</v>
      </c>
      <c r="C91" s="82">
        <f t="shared" si="21"/>
        <v>25.539006447286308</v>
      </c>
      <c r="D91" s="73">
        <v>0.67409485578536987</v>
      </c>
      <c r="E91" s="73">
        <v>0.33051693439483643</v>
      </c>
      <c r="F91" s="73">
        <v>1.6626510769128799E-2</v>
      </c>
      <c r="G91" s="73">
        <v>3.9733421057462692E-2</v>
      </c>
      <c r="H91" s="73">
        <v>1.9489146769046783E-2</v>
      </c>
      <c r="I91" s="82">
        <f t="shared" si="22"/>
        <v>11.321653828940038</v>
      </c>
      <c r="J91" s="73">
        <f t="shared" si="19"/>
        <v>0.45597028415971291</v>
      </c>
      <c r="K91" s="74">
        <f t="shared" si="20"/>
        <v>0.92995907609343265</v>
      </c>
      <c r="L91" s="82"/>
      <c r="M91" s="82"/>
      <c r="N91" s="77"/>
      <c r="O91" s="77"/>
      <c r="P91" s="73"/>
      <c r="Q91" s="73"/>
      <c r="R91" s="79"/>
      <c r="S91" s="80"/>
      <c r="T91" s="79"/>
      <c r="U91" s="79"/>
      <c r="V91" s="79"/>
      <c r="W91" s="79"/>
      <c r="X91" s="71"/>
      <c r="Y91" s="80"/>
      <c r="Z91" s="79"/>
      <c r="AA91" s="79"/>
      <c r="AB91" s="73"/>
      <c r="AC91" s="79"/>
      <c r="AD91" s="71"/>
      <c r="AE91" s="80"/>
      <c r="AF91" s="79"/>
      <c r="AG91" s="79"/>
      <c r="AH91" s="79"/>
      <c r="AI91" s="79"/>
      <c r="AJ91" s="71"/>
      <c r="AK91" s="72"/>
      <c r="AL91" s="73"/>
      <c r="AM91" s="74"/>
      <c r="AN91" s="75">
        <v>0.5</v>
      </c>
    </row>
    <row r="92" spans="1:40" ht="15.6" x14ac:dyDescent="0.3">
      <c r="A92" s="29">
        <v>1866</v>
      </c>
      <c r="B92" s="76">
        <v>37.999929999999999</v>
      </c>
      <c r="C92" s="82">
        <f t="shared" si="21"/>
        <v>25.631634106796383</v>
      </c>
      <c r="D92" s="73">
        <v>0.6745179295539856</v>
      </c>
      <c r="E92" s="73">
        <v>0.33069047331809998</v>
      </c>
      <c r="F92" s="73">
        <v>1.7362531274557114E-2</v>
      </c>
      <c r="G92" s="73">
        <v>3.9773546159267426E-2</v>
      </c>
      <c r="H92" s="73">
        <v>1.9585536792874336E-2</v>
      </c>
      <c r="I92" s="82">
        <f t="shared" si="22"/>
        <v>11.354962946466244</v>
      </c>
      <c r="J92" s="73">
        <f t="shared" si="19"/>
        <v>0.45561627364726348</v>
      </c>
      <c r="K92" s="74">
        <f t="shared" si="20"/>
        <v>0.92933232242234487</v>
      </c>
      <c r="L92" s="82"/>
      <c r="M92" s="82"/>
      <c r="N92" s="77"/>
      <c r="O92" s="77"/>
      <c r="P92" s="73"/>
      <c r="Q92" s="73"/>
      <c r="R92" s="79"/>
      <c r="S92" s="80"/>
      <c r="T92" s="79"/>
      <c r="U92" s="79"/>
      <c r="V92" s="79"/>
      <c r="W92" s="79"/>
      <c r="X92" s="71"/>
      <c r="Y92" s="80"/>
      <c r="Z92" s="79"/>
      <c r="AA92" s="79"/>
      <c r="AB92" s="73"/>
      <c r="AC92" s="79"/>
      <c r="AD92" s="71"/>
      <c r="AE92" s="80"/>
      <c r="AF92" s="79"/>
      <c r="AG92" s="79"/>
      <c r="AH92" s="79"/>
      <c r="AI92" s="79"/>
      <c r="AJ92" s="71"/>
      <c r="AK92" s="72"/>
      <c r="AL92" s="73"/>
      <c r="AM92" s="74"/>
      <c r="AN92" s="75">
        <v>0.5</v>
      </c>
    </row>
    <row r="93" spans="1:40" ht="15.6" x14ac:dyDescent="0.3">
      <c r="A93" s="29">
        <v>1867</v>
      </c>
      <c r="B93" s="76">
        <v>37.937497</v>
      </c>
      <c r="C93" s="82">
        <f t="shared" si="21"/>
        <v>25.588827724833607</v>
      </c>
      <c r="D93" s="73">
        <v>0.67449963092803955</v>
      </c>
      <c r="E93" s="73">
        <v>0.33093467354774475</v>
      </c>
      <c r="F93" s="73">
        <v>1.8065659329295158E-2</v>
      </c>
      <c r="G93" s="73">
        <v>3.9883311837911606E-2</v>
      </c>
      <c r="H93" s="73">
        <v>1.959923654794693E-2</v>
      </c>
      <c r="I93" s="82">
        <f t="shared" si="22"/>
        <v>11.336478021493892</v>
      </c>
      <c r="J93" s="73">
        <f t="shared" si="19"/>
        <v>0.45563735969410835</v>
      </c>
      <c r="K93" s="74">
        <f t="shared" si="20"/>
        <v>0.92866434228858041</v>
      </c>
      <c r="L93" s="82"/>
      <c r="M93" s="82"/>
      <c r="N93" s="77"/>
      <c r="O93" s="77"/>
      <c r="P93" s="73"/>
      <c r="Q93" s="73"/>
      <c r="R93" s="79"/>
      <c r="S93" s="80"/>
      <c r="T93" s="79"/>
      <c r="U93" s="79"/>
      <c r="V93" s="79"/>
      <c r="W93" s="79"/>
      <c r="X93" s="71"/>
      <c r="Y93" s="80"/>
      <c r="Z93" s="79"/>
      <c r="AA93" s="79"/>
      <c r="AB93" s="73"/>
      <c r="AC93" s="79"/>
      <c r="AD93" s="71"/>
      <c r="AE93" s="80"/>
      <c r="AF93" s="79"/>
      <c r="AG93" s="79"/>
      <c r="AH93" s="79"/>
      <c r="AI93" s="79"/>
      <c r="AJ93" s="71"/>
      <c r="AK93" s="72"/>
      <c r="AL93" s="73"/>
      <c r="AM93" s="74"/>
      <c r="AN93" s="75">
        <v>0.5</v>
      </c>
    </row>
    <row r="94" spans="1:40" ht="15.6" x14ac:dyDescent="0.3">
      <c r="A94" s="29">
        <v>1868</v>
      </c>
      <c r="B94" s="76">
        <v>37.875045</v>
      </c>
      <c r="C94" s="82">
        <f t="shared" si="21"/>
        <v>25.546035645416378</v>
      </c>
      <c r="D94" s="73">
        <v>0.67448198795318604</v>
      </c>
      <c r="E94" s="73">
        <v>0.33117884397506714</v>
      </c>
      <c r="F94" s="73">
        <v>1.8770668655633926E-2</v>
      </c>
      <c r="G94" s="73">
        <v>3.9993405342102051E-2</v>
      </c>
      <c r="H94" s="73">
        <v>1.9612913951277733E-2</v>
      </c>
      <c r="I94" s="82">
        <f t="shared" si="22"/>
        <v>11.317955125916814</v>
      </c>
      <c r="J94" s="73">
        <f t="shared" si="19"/>
        <v>0.45565666039381764</v>
      </c>
      <c r="K94" s="74">
        <f t="shared" si="20"/>
        <v>0.92799469446082561</v>
      </c>
      <c r="L94" s="82"/>
      <c r="M94" s="82"/>
      <c r="N94" s="77"/>
      <c r="O94" s="77"/>
      <c r="P94" s="73"/>
      <c r="Q94" s="73"/>
      <c r="R94" s="79"/>
      <c r="S94" s="80"/>
      <c r="T94" s="79"/>
      <c r="U94" s="79"/>
      <c r="V94" s="79"/>
      <c r="W94" s="79"/>
      <c r="X94" s="71"/>
      <c r="Y94" s="80"/>
      <c r="Z94" s="79"/>
      <c r="AA94" s="79"/>
      <c r="AB94" s="73"/>
      <c r="AC94" s="79"/>
      <c r="AD94" s="71"/>
      <c r="AE94" s="80"/>
      <c r="AF94" s="79"/>
      <c r="AG94" s="79"/>
      <c r="AH94" s="79"/>
      <c r="AI94" s="79"/>
      <c r="AJ94" s="71"/>
      <c r="AK94" s="72"/>
      <c r="AL94" s="73"/>
      <c r="AM94" s="74"/>
      <c r="AN94" s="75">
        <v>0.5</v>
      </c>
    </row>
    <row r="95" spans="1:40" ht="15.6" x14ac:dyDescent="0.3">
      <c r="A95" s="29">
        <v>1869</v>
      </c>
      <c r="B95" s="76">
        <v>37.812624</v>
      </c>
      <c r="C95" s="82">
        <f t="shared" si="21"/>
        <v>25.503241886183737</v>
      </c>
      <c r="D95" s="73">
        <v>0.67446368932723999</v>
      </c>
      <c r="E95" s="73">
        <v>0.33142191171646118</v>
      </c>
      <c r="F95" s="73">
        <v>1.9478747621178627E-2</v>
      </c>
      <c r="G95" s="73">
        <v>4.0103882551193237E-2</v>
      </c>
      <c r="H95" s="73">
        <v>1.9626699388027191E-2</v>
      </c>
      <c r="I95" s="82">
        <f t="shared" si="22"/>
        <v>11.299353136925054</v>
      </c>
      <c r="J95" s="73">
        <f t="shared" si="19"/>
        <v>0.45567292697251877</v>
      </c>
      <c r="K95" s="74">
        <f t="shared" si="20"/>
        <v>0.92732204053954881</v>
      </c>
      <c r="L95" s="82">
        <v>10.13522</v>
      </c>
      <c r="M95" s="82">
        <v>8.1894810000000007</v>
      </c>
      <c r="N95" s="77"/>
      <c r="O95" s="73">
        <f>L95/I95</f>
        <v>0.89697347070950517</v>
      </c>
      <c r="P95" s="83">
        <f>M95/L95</f>
        <v>0.80802202616223429</v>
      </c>
      <c r="Q95" s="83">
        <f>P95*O95</f>
        <v>0.7247743212164659</v>
      </c>
      <c r="R95" s="79"/>
      <c r="S95" s="80"/>
      <c r="T95" s="79"/>
      <c r="U95" s="79"/>
      <c r="V95" s="79"/>
      <c r="W95" s="79"/>
      <c r="X95" s="71"/>
      <c r="Y95" s="80"/>
      <c r="Z95" s="79"/>
      <c r="AA95" s="79"/>
      <c r="AB95" s="73"/>
      <c r="AC95" s="79"/>
      <c r="AD95" s="71"/>
      <c r="AE95" s="80"/>
      <c r="AF95" s="79"/>
      <c r="AG95" s="79"/>
      <c r="AH95" s="79"/>
      <c r="AI95" s="79"/>
      <c r="AJ95" s="71"/>
      <c r="AK95" s="72"/>
      <c r="AL95" s="73"/>
      <c r="AM95" s="74"/>
      <c r="AN95" s="75">
        <v>0.5</v>
      </c>
    </row>
    <row r="96" spans="1:40" ht="15.6" x14ac:dyDescent="0.3">
      <c r="A96" s="29">
        <v>1870</v>
      </c>
      <c r="B96" s="76">
        <v>37.750155999999997</v>
      </c>
      <c r="C96" s="82">
        <f t="shared" si="21"/>
        <v>25.460447963555094</v>
      </c>
      <c r="D96" s="73">
        <v>0.67444616556167603</v>
      </c>
      <c r="E96" s="73">
        <v>0.33166506886482239</v>
      </c>
      <c r="F96" s="73">
        <v>2.0187946036458015E-2</v>
      </c>
      <c r="G96" s="73">
        <v>4.0214721113443375E-2</v>
      </c>
      <c r="H96" s="73">
        <v>1.9640475511550903E-2</v>
      </c>
      <c r="I96" s="82">
        <f t="shared" si="22"/>
        <v>11.280718615134438</v>
      </c>
      <c r="J96" s="73">
        <f t="shared" si="19"/>
        <v>0.45568785261537359</v>
      </c>
      <c r="K96" s="74">
        <f t="shared" si="20"/>
        <v>0.92664845876408841</v>
      </c>
      <c r="L96" s="77"/>
      <c r="M96" s="77"/>
      <c r="N96" s="77"/>
      <c r="O96" s="77"/>
      <c r="P96" s="73"/>
      <c r="Q96" s="73"/>
      <c r="R96" s="79"/>
      <c r="S96" s="80"/>
      <c r="T96" s="79"/>
      <c r="U96" s="79"/>
      <c r="V96" s="79"/>
      <c r="W96" s="79"/>
      <c r="X96" s="71"/>
      <c r="Y96" s="76">
        <v>10.487858000000001</v>
      </c>
      <c r="Z96" s="82">
        <f>AB96*Y96</f>
        <v>8.6099070000000015</v>
      </c>
      <c r="AA96" s="82">
        <f>(1-AC96)*Z96</f>
        <v>8.5018100000000008</v>
      </c>
      <c r="AB96" s="73">
        <v>0.82094046277133048</v>
      </c>
      <c r="AC96" s="85">
        <v>1.255495558778974E-2</v>
      </c>
      <c r="AD96" s="86">
        <v>0.82646165934077565</v>
      </c>
      <c r="AE96" s="80"/>
      <c r="AF96" s="79"/>
      <c r="AG96" s="79"/>
      <c r="AH96" s="79"/>
      <c r="AI96" s="79"/>
      <c r="AJ96" s="71"/>
      <c r="AK96" s="72"/>
      <c r="AL96" s="73"/>
      <c r="AM96" s="74"/>
      <c r="AN96" s="75">
        <v>0.5</v>
      </c>
    </row>
    <row r="97" spans="1:40" ht="15.6" x14ac:dyDescent="0.3">
      <c r="A97" s="29">
        <v>1871</v>
      </c>
      <c r="B97" s="76">
        <v>37.687725999999998</v>
      </c>
      <c r="C97" s="82">
        <f t="shared" si="21"/>
        <v>25.41762345311248</v>
      </c>
      <c r="D97" s="73">
        <v>0.6744270920753479</v>
      </c>
      <c r="E97" s="73">
        <v>0.33190706372261047</v>
      </c>
      <c r="F97" s="73">
        <v>2.0900536328554153E-2</v>
      </c>
      <c r="G97" s="73">
        <v>4.0325939655303955E-2</v>
      </c>
      <c r="H97" s="73">
        <v>1.9654355943202972E-2</v>
      </c>
      <c r="I97" s="82">
        <f>(1-F97)*(1-(1+3/18)*(1-D97))*B97*(E97/D97)</f>
        <v>11.261997975745384</v>
      </c>
      <c r="J97" s="73">
        <f t="shared" si="19"/>
        <v>0.45570004356655636</v>
      </c>
      <c r="K97" s="74">
        <f t="shared" si="20"/>
        <v>0.92597142041561586</v>
      </c>
      <c r="L97" s="82">
        <v>10.702070000000001</v>
      </c>
      <c r="M97" s="82">
        <v>6.741358</v>
      </c>
      <c r="N97" s="77"/>
      <c r="O97" s="73">
        <f>L97/I97</f>
        <v>0.95028164834061568</v>
      </c>
      <c r="P97" s="83">
        <f>M97/L97</f>
        <v>0.62991159654160356</v>
      </c>
      <c r="Q97" s="83">
        <f>P97*O97</f>
        <v>0.59859343027042389</v>
      </c>
      <c r="R97" s="79"/>
      <c r="S97" s="80"/>
      <c r="T97" s="79"/>
      <c r="U97" s="79"/>
      <c r="V97" s="79"/>
      <c r="W97" s="79"/>
      <c r="X97" s="71"/>
      <c r="Y97" s="80"/>
      <c r="Z97" s="79"/>
      <c r="AA97" s="79"/>
      <c r="AB97" s="73"/>
      <c r="AC97" s="79"/>
      <c r="AD97" s="71"/>
      <c r="AE97" s="80"/>
      <c r="AF97" s="79"/>
      <c r="AG97" s="79"/>
      <c r="AH97" s="79"/>
      <c r="AI97" s="79"/>
      <c r="AJ97" s="71"/>
      <c r="AK97" s="72"/>
      <c r="AL97" s="73"/>
      <c r="AM97" s="74"/>
      <c r="AN97" s="75">
        <v>0.5</v>
      </c>
    </row>
    <row r="98" spans="1:40" ht="15.6" x14ac:dyDescent="0.3">
      <c r="A98" s="29">
        <v>1872</v>
      </c>
      <c r="B98" s="76">
        <v>37.625270999999998</v>
      </c>
      <c r="C98" s="82">
        <f t="shared" si="21"/>
        <v>25.374869684339583</v>
      </c>
      <c r="D98" s="73">
        <v>0.67441028356552124</v>
      </c>
      <c r="E98" s="73">
        <v>0.33214959502220154</v>
      </c>
      <c r="F98" s="73">
        <v>2.1614808589220047E-2</v>
      </c>
      <c r="G98" s="73">
        <v>4.0437500923871994E-2</v>
      </c>
      <c r="H98" s="73">
        <v>1.9668217748403549E-2</v>
      </c>
      <c r="I98" s="82">
        <f t="shared" ref="I98:I143" si="23">(1-G98)*(1-F98)*(1-(1+3/18)*(1-D98))*B98*(E98/D98)</f>
        <v>10.788617497074314</v>
      </c>
      <c r="J98" s="73">
        <f t="shared" si="19"/>
        <v>0.45571035555070954</v>
      </c>
      <c r="K98" s="74">
        <f t="shared" si="20"/>
        <v>0.92529316523825844</v>
      </c>
      <c r="L98" s="77"/>
      <c r="M98" s="77"/>
      <c r="N98" s="77"/>
      <c r="O98" s="77"/>
      <c r="P98" s="73"/>
      <c r="Q98" s="73"/>
      <c r="R98" s="79"/>
      <c r="S98" s="80"/>
      <c r="T98" s="79"/>
      <c r="U98" s="79"/>
      <c r="V98" s="79"/>
      <c r="W98" s="79"/>
      <c r="X98" s="71"/>
      <c r="Y98" s="80"/>
      <c r="Z98" s="79"/>
      <c r="AA98" s="79"/>
      <c r="AB98" s="73"/>
      <c r="AC98" s="79"/>
      <c r="AD98" s="71"/>
      <c r="AE98" s="80"/>
      <c r="AF98" s="79"/>
      <c r="AG98" s="79"/>
      <c r="AH98" s="79"/>
      <c r="AI98" s="79"/>
      <c r="AJ98" s="71"/>
      <c r="AK98" s="72"/>
      <c r="AL98" s="73"/>
      <c r="AM98" s="74"/>
      <c r="AN98" s="75">
        <v>0.5</v>
      </c>
    </row>
    <row r="99" spans="1:40" ht="15.6" x14ac:dyDescent="0.3">
      <c r="A99" s="29">
        <v>1873</v>
      </c>
      <c r="B99" s="76">
        <v>37.825496000000001</v>
      </c>
      <c r="C99" s="82">
        <f t="shared" si="21"/>
        <v>25.509227110790729</v>
      </c>
      <c r="D99" s="73">
        <v>0.67439240217208862</v>
      </c>
      <c r="E99" s="73">
        <v>0.33239111304283142</v>
      </c>
      <c r="F99" s="73">
        <v>2.1935064345598221E-2</v>
      </c>
      <c r="G99" s="73">
        <v>4.0290072560310364E-2</v>
      </c>
      <c r="H99" s="73">
        <v>1.963329128921032E-2</v>
      </c>
      <c r="I99" s="82">
        <f t="shared" si="23"/>
        <v>10.851953183989634</v>
      </c>
      <c r="J99" s="73">
        <f t="shared" si="19"/>
        <v>0.45590309375729682</v>
      </c>
      <c r="K99" s="74">
        <f t="shared" si="20"/>
        <v>0.9249873732847117</v>
      </c>
      <c r="L99" s="77"/>
      <c r="M99" s="77"/>
      <c r="N99" s="77"/>
      <c r="O99" s="77"/>
      <c r="P99" s="73"/>
      <c r="Q99" s="73"/>
      <c r="R99" s="79"/>
      <c r="S99" s="80"/>
      <c r="T99" s="79"/>
      <c r="U99" s="79"/>
      <c r="V99" s="79"/>
      <c r="W99" s="79"/>
      <c r="X99" s="71"/>
      <c r="Y99" s="80"/>
      <c r="Z99" s="79"/>
      <c r="AA99" s="79"/>
      <c r="AB99" s="73"/>
      <c r="AC99" s="79"/>
      <c r="AD99" s="71"/>
      <c r="AE99" s="80"/>
      <c r="AF99" s="79"/>
      <c r="AG99" s="79"/>
      <c r="AH99" s="79"/>
      <c r="AI99" s="79"/>
      <c r="AJ99" s="71"/>
      <c r="AK99" s="72"/>
      <c r="AL99" s="73"/>
      <c r="AM99" s="74"/>
      <c r="AN99" s="75">
        <v>0.5</v>
      </c>
    </row>
    <row r="100" spans="1:40" ht="15.6" x14ac:dyDescent="0.3">
      <c r="A100" s="29">
        <v>1874</v>
      </c>
      <c r="B100" s="76">
        <v>38.025728000000001</v>
      </c>
      <c r="C100" s="82">
        <f t="shared" si="21"/>
        <v>25.643591163299561</v>
      </c>
      <c r="D100" s="73">
        <v>0.67437475919723511</v>
      </c>
      <c r="E100" s="73">
        <v>0.33263209462165833</v>
      </c>
      <c r="F100" s="73">
        <v>2.2251918911933899E-2</v>
      </c>
      <c r="G100" s="73">
        <v>4.0144190192222595E-2</v>
      </c>
      <c r="H100" s="73">
        <v>1.959870383143425E-2</v>
      </c>
      <c r="I100" s="82">
        <f t="shared" si="23"/>
        <v>10.915353470387503</v>
      </c>
      <c r="J100" s="73">
        <f t="shared" si="19"/>
        <v>0.45609633303399649</v>
      </c>
      <c r="K100" s="74">
        <f t="shared" si="20"/>
        <v>0.924684838696609</v>
      </c>
      <c r="L100" s="77"/>
      <c r="M100" s="77"/>
      <c r="N100" s="77"/>
      <c r="O100" s="77"/>
      <c r="P100" s="73"/>
      <c r="Q100" s="73"/>
      <c r="R100" s="79"/>
      <c r="S100" s="80"/>
      <c r="T100" s="79"/>
      <c r="U100" s="79"/>
      <c r="V100" s="79"/>
      <c r="W100" s="79"/>
      <c r="X100" s="71"/>
      <c r="Y100" s="80"/>
      <c r="Z100" s="79"/>
      <c r="AA100" s="79"/>
      <c r="AB100" s="73"/>
      <c r="AC100" s="79"/>
      <c r="AD100" s="71"/>
      <c r="AE100" s="80"/>
      <c r="AF100" s="79"/>
      <c r="AG100" s="79"/>
      <c r="AH100" s="79"/>
      <c r="AI100" s="79"/>
      <c r="AJ100" s="71"/>
      <c r="AK100" s="72"/>
      <c r="AL100" s="73"/>
      <c r="AM100" s="74"/>
      <c r="AN100" s="75">
        <v>0.5</v>
      </c>
    </row>
    <row r="101" spans="1:40" ht="15.6" x14ac:dyDescent="0.3">
      <c r="A101" s="29">
        <v>1875</v>
      </c>
      <c r="B101" s="76">
        <v>38.225932999999998</v>
      </c>
      <c r="C101" s="82">
        <f t="shared" si="21"/>
        <v>25.777918550574181</v>
      </c>
      <c r="D101" s="73">
        <v>0.67435681819915771</v>
      </c>
      <c r="E101" s="73">
        <v>0.33287280797958374</v>
      </c>
      <c r="F101" s="73">
        <v>2.2564699873328209E-2</v>
      </c>
      <c r="G101" s="73">
        <v>3.9999861270189285E-2</v>
      </c>
      <c r="H101" s="73">
        <v>1.9564466550946236E-2</v>
      </c>
      <c r="I101" s="82">
        <f t="shared" si="23"/>
        <v>10.978822646982834</v>
      </c>
      <c r="J101" s="73">
        <f t="shared" si="19"/>
        <v>0.45629107879976566</v>
      </c>
      <c r="K101" s="74">
        <f t="shared" si="20"/>
        <v>0.92438610993705328</v>
      </c>
      <c r="L101" s="77"/>
      <c r="M101" s="77"/>
      <c r="N101" s="77"/>
      <c r="O101" s="77"/>
      <c r="P101" s="73"/>
      <c r="Q101" s="73"/>
      <c r="R101" s="79"/>
      <c r="S101" s="80"/>
      <c r="T101" s="79"/>
      <c r="U101" s="79"/>
      <c r="V101" s="79"/>
      <c r="W101" s="79"/>
      <c r="X101" s="71"/>
      <c r="Y101" s="80"/>
      <c r="Z101" s="79"/>
      <c r="AA101" s="79"/>
      <c r="AB101" s="73"/>
      <c r="AC101" s="79"/>
      <c r="AD101" s="71"/>
      <c r="AE101" s="80"/>
      <c r="AF101" s="79"/>
      <c r="AG101" s="79"/>
      <c r="AH101" s="79"/>
      <c r="AI101" s="79"/>
      <c r="AJ101" s="71"/>
      <c r="AK101" s="72"/>
      <c r="AL101" s="73"/>
      <c r="AM101" s="74"/>
      <c r="AN101" s="75">
        <v>0.5</v>
      </c>
    </row>
    <row r="102" spans="1:40" ht="15.6" x14ac:dyDescent="0.3">
      <c r="A102" s="29">
        <v>1876</v>
      </c>
      <c r="B102" s="76">
        <v>38.426136999999997</v>
      </c>
      <c r="C102" s="82">
        <f t="shared" si="21"/>
        <v>25.912256402764854</v>
      </c>
      <c r="D102" s="73">
        <v>0.67433935403823853</v>
      </c>
      <c r="E102" s="73">
        <v>0.33311307430267334</v>
      </c>
      <c r="F102" s="73">
        <v>2.2874429821968079E-2</v>
      </c>
      <c r="G102" s="73">
        <v>3.9857011288404465E-2</v>
      </c>
      <c r="H102" s="73">
        <v>1.9530612975358963E-2</v>
      </c>
      <c r="I102" s="82">
        <f t="shared" si="23"/>
        <v>11.042355273633449</v>
      </c>
      <c r="J102" s="73">
        <f t="shared" si="19"/>
        <v>0.45648615090435951</v>
      </c>
      <c r="K102" s="74">
        <f t="shared" si="20"/>
        <v>0.92409034611637653</v>
      </c>
      <c r="L102" s="82">
        <f>B$350/1000000</f>
        <v>9.6971609999999995</v>
      </c>
      <c r="M102" s="82">
        <f>D$350/1000000</f>
        <v>7.3672829999999996</v>
      </c>
      <c r="N102" s="77"/>
      <c r="O102" s="73">
        <f>L102/I102</f>
        <v>0.87817868196602422</v>
      </c>
      <c r="P102" s="83">
        <f>M102/L102</f>
        <v>0.75973607120682018</v>
      </c>
      <c r="Q102" s="83">
        <f>P102*O102</f>
        <v>0.6671840216544509</v>
      </c>
      <c r="R102" s="79"/>
      <c r="S102" s="80"/>
      <c r="T102" s="79"/>
      <c r="U102" s="79"/>
      <c r="V102" s="79"/>
      <c r="W102" s="79"/>
      <c r="X102" s="71"/>
      <c r="Y102" s="80"/>
      <c r="Z102" s="79"/>
      <c r="AA102" s="79"/>
      <c r="AB102" s="73"/>
      <c r="AC102" s="79"/>
      <c r="AD102" s="71"/>
      <c r="AE102" s="80"/>
      <c r="AF102" s="79"/>
      <c r="AG102" s="79"/>
      <c r="AH102" s="79"/>
      <c r="AI102" s="79"/>
      <c r="AJ102" s="71"/>
      <c r="AK102" s="72"/>
      <c r="AL102" s="73"/>
      <c r="AM102" s="74"/>
      <c r="AN102" s="75">
        <v>0.5</v>
      </c>
    </row>
    <row r="103" spans="1:40" ht="15.6" x14ac:dyDescent="0.3">
      <c r="A103" s="29">
        <v>1877</v>
      </c>
      <c r="B103" s="76">
        <v>38.587237000000002</v>
      </c>
      <c r="C103" s="82">
        <f t="shared" si="21"/>
        <v>26.027516410936656</v>
      </c>
      <c r="D103" s="73">
        <v>0.67451101541519165</v>
      </c>
      <c r="E103" s="73">
        <v>0.33335387706756592</v>
      </c>
      <c r="F103" s="73">
        <v>2.3899983614683151E-2</v>
      </c>
      <c r="G103" s="73">
        <v>3.9871837943792343E-2</v>
      </c>
      <c r="H103" s="73">
        <v>1.9557062536478043E-2</v>
      </c>
      <c r="I103" s="82">
        <f t="shared" si="23"/>
        <v>11.085606184047419</v>
      </c>
      <c r="J103" s="73">
        <f t="shared" si="19"/>
        <v>0.45623434664379997</v>
      </c>
      <c r="K103" s="74">
        <f t="shared" si="20"/>
        <v>0.92314838252090492</v>
      </c>
      <c r="L103" s="82">
        <f>B$345/1000000</f>
        <v>9.9046380000000003</v>
      </c>
      <c r="M103" s="82">
        <f>D$345/1000000</f>
        <v>8.0618429999999996</v>
      </c>
      <c r="N103" s="77"/>
      <c r="O103" s="73">
        <f>L103/I103</f>
        <v>0.89346832600396053</v>
      </c>
      <c r="P103" s="83">
        <f>M103/L103</f>
        <v>0.81394625426996925</v>
      </c>
      <c r="Q103" s="83">
        <f>P103*O103</f>
        <v>0.72723519725978347</v>
      </c>
      <c r="R103" s="79"/>
      <c r="S103" s="80"/>
      <c r="T103" s="79"/>
      <c r="U103" s="79"/>
      <c r="V103" s="79"/>
      <c r="W103" s="79"/>
      <c r="X103" s="71"/>
      <c r="Y103" s="80"/>
      <c r="Z103" s="79"/>
      <c r="AA103" s="79"/>
      <c r="AB103" s="73"/>
      <c r="AC103" s="79"/>
      <c r="AD103" s="71"/>
      <c r="AE103" s="80"/>
      <c r="AF103" s="79"/>
      <c r="AG103" s="79"/>
      <c r="AH103" s="79"/>
      <c r="AI103" s="79"/>
      <c r="AJ103" s="71"/>
      <c r="AK103" s="72"/>
      <c r="AL103" s="73"/>
      <c r="AM103" s="74"/>
      <c r="AN103" s="75">
        <v>0.5</v>
      </c>
    </row>
    <row r="104" spans="1:40" ht="15.6" x14ac:dyDescent="0.3">
      <c r="A104" s="29">
        <v>1878</v>
      </c>
      <c r="B104" s="76">
        <v>38.748409000000002</v>
      </c>
      <c r="C104" s="82">
        <f t="shared" si="21"/>
        <v>26.142850280949833</v>
      </c>
      <c r="D104" s="73">
        <v>0.6746819019317627</v>
      </c>
      <c r="E104" s="73">
        <v>0.33359318971633911</v>
      </c>
      <c r="F104" s="73">
        <v>2.4917013943195343E-2</v>
      </c>
      <c r="G104" s="73">
        <v>3.9885483682155609E-2</v>
      </c>
      <c r="H104" s="73">
        <v>1.9583668559789658E-2</v>
      </c>
      <c r="I104" s="82">
        <f t="shared" si="23"/>
        <v>11.128892488149374</v>
      </c>
      <c r="J104" s="73">
        <f t="shared" si="19"/>
        <v>0.45598437960868515</v>
      </c>
      <c r="K104" s="74">
        <f t="shared" si="20"/>
        <v>0.92221429564302171</v>
      </c>
      <c r="L104" s="77"/>
      <c r="M104" s="77"/>
      <c r="N104" s="77"/>
      <c r="O104" s="77"/>
      <c r="P104" s="73"/>
      <c r="Q104" s="73"/>
      <c r="R104" s="79"/>
      <c r="S104" s="80"/>
      <c r="T104" s="79"/>
      <c r="U104" s="79"/>
      <c r="V104" s="79"/>
      <c r="W104" s="79"/>
      <c r="X104" s="71"/>
      <c r="Y104" s="80"/>
      <c r="Z104" s="79"/>
      <c r="AA104" s="79"/>
      <c r="AB104" s="73"/>
      <c r="AC104" s="79"/>
      <c r="AD104" s="71"/>
      <c r="AE104" s="80"/>
      <c r="AF104" s="79"/>
      <c r="AG104" s="79"/>
      <c r="AH104" s="79"/>
      <c r="AI104" s="79"/>
      <c r="AJ104" s="71"/>
      <c r="AK104" s="72"/>
      <c r="AL104" s="73"/>
      <c r="AM104" s="74"/>
      <c r="AN104" s="75">
        <v>0.5</v>
      </c>
    </row>
    <row r="105" spans="1:40" ht="15.6" x14ac:dyDescent="0.3">
      <c r="A105" s="29">
        <v>1879</v>
      </c>
      <c r="B105" s="76">
        <v>38.909680999999999</v>
      </c>
      <c r="C105" s="82">
        <f t="shared" si="21"/>
        <v>26.258251059740008</v>
      </c>
      <c r="D105" s="73">
        <v>0.67485135793685913</v>
      </c>
      <c r="E105" s="73">
        <v>0.33383053541183472</v>
      </c>
      <c r="F105" s="73">
        <v>2.5925356894731522E-2</v>
      </c>
      <c r="G105" s="73">
        <v>3.9899323135614395E-2</v>
      </c>
      <c r="H105" s="73">
        <v>1.9610261544585228E-2</v>
      </c>
      <c r="I105" s="82">
        <f t="shared" si="23"/>
        <v>11.172190091101729</v>
      </c>
      <c r="J105" s="73">
        <f t="shared" si="19"/>
        <v>0.45573607850517817</v>
      </c>
      <c r="K105" s="74">
        <f t="shared" si="20"/>
        <v>0.92128813519296571</v>
      </c>
      <c r="L105" s="77"/>
      <c r="M105" s="77"/>
      <c r="N105" s="77"/>
      <c r="O105" s="77"/>
      <c r="P105" s="73"/>
      <c r="Q105" s="73"/>
      <c r="R105" s="79"/>
      <c r="S105" s="80"/>
      <c r="T105" s="79"/>
      <c r="U105" s="79"/>
      <c r="V105" s="79"/>
      <c r="W105" s="79"/>
      <c r="X105" s="71"/>
      <c r="Y105" s="80"/>
      <c r="Z105" s="79"/>
      <c r="AA105" s="79"/>
      <c r="AB105" s="73"/>
      <c r="AC105" s="79"/>
      <c r="AD105" s="71"/>
      <c r="AE105" s="80"/>
      <c r="AF105" s="79"/>
      <c r="AG105" s="79"/>
      <c r="AH105" s="79"/>
      <c r="AI105" s="79"/>
      <c r="AJ105" s="71"/>
      <c r="AK105" s="72"/>
      <c r="AL105" s="73"/>
      <c r="AM105" s="74"/>
      <c r="AN105" s="75">
        <v>0.5</v>
      </c>
    </row>
    <row r="106" spans="1:40" ht="15.6" x14ac:dyDescent="0.3">
      <c r="A106" s="29">
        <v>1880</v>
      </c>
      <c r="B106" s="76">
        <v>39.070853</v>
      </c>
      <c r="C106" s="82">
        <f t="shared" si="21"/>
        <v>26.373606390206099</v>
      </c>
      <c r="D106" s="73">
        <v>0.67501997947692871</v>
      </c>
      <c r="E106" s="73">
        <v>0.33406659960746765</v>
      </c>
      <c r="F106" s="73">
        <v>2.6925643905997276E-2</v>
      </c>
      <c r="G106" s="73">
        <v>3.9912745356559753E-2</v>
      </c>
      <c r="H106" s="73">
        <v>1.9636427983641624E-2</v>
      </c>
      <c r="I106" s="82">
        <f t="shared" si="23"/>
        <v>11.215467624292536</v>
      </c>
      <c r="J106" s="73">
        <f t="shared" si="19"/>
        <v>0.45548974234310152</v>
      </c>
      <c r="K106" s="74">
        <f t="shared" si="20"/>
        <v>0.92036940205835216</v>
      </c>
      <c r="L106" s="77"/>
      <c r="M106" s="77"/>
      <c r="N106" s="77"/>
      <c r="O106" s="77"/>
      <c r="P106" s="73"/>
      <c r="Q106" s="73"/>
      <c r="R106" s="79"/>
      <c r="S106" s="80"/>
      <c r="T106" s="79"/>
      <c r="U106" s="79"/>
      <c r="V106" s="79"/>
      <c r="W106" s="79"/>
      <c r="X106" s="71"/>
      <c r="Y106" s="80"/>
      <c r="Z106" s="79"/>
      <c r="AA106" s="79"/>
      <c r="AB106" s="73"/>
      <c r="AC106" s="79"/>
      <c r="AD106" s="71"/>
      <c r="AE106" s="80"/>
      <c r="AF106" s="79"/>
      <c r="AG106" s="79"/>
      <c r="AH106" s="79"/>
      <c r="AI106" s="79"/>
      <c r="AJ106" s="71"/>
      <c r="AK106" s="72"/>
      <c r="AL106" s="73"/>
      <c r="AM106" s="74"/>
      <c r="AN106" s="75">
        <v>0.5</v>
      </c>
    </row>
    <row r="107" spans="1:40" ht="15.6" x14ac:dyDescent="0.3">
      <c r="A107" s="29">
        <v>1881</v>
      </c>
      <c r="B107" s="76">
        <v>39.231952999999997</v>
      </c>
      <c r="C107" s="82">
        <f t="shared" si="21"/>
        <v>26.488873924969731</v>
      </c>
      <c r="D107" s="73">
        <v>0.67518621683120728</v>
      </c>
      <c r="E107" s="73">
        <v>0.33430036902427673</v>
      </c>
      <c r="F107" s="73">
        <v>2.7917703613638878E-2</v>
      </c>
      <c r="G107" s="73">
        <v>3.9927098900079727E-2</v>
      </c>
      <c r="H107" s="73">
        <v>1.9662009552121162E-2</v>
      </c>
      <c r="I107" s="82">
        <f t="shared" si="23"/>
        <v>11.258679015378776</v>
      </c>
      <c r="J107" s="73">
        <f t="shared" si="19"/>
        <v>0.45524500327488204</v>
      </c>
      <c r="K107" s="74">
        <f t="shared" si="20"/>
        <v>0.91945800834625091</v>
      </c>
      <c r="L107" s="82">
        <f>B$340/1000000</f>
        <v>10.136741000000001</v>
      </c>
      <c r="M107" s="82">
        <f>D$340/1000000</f>
        <v>6.9556129999999996</v>
      </c>
      <c r="N107" s="77"/>
      <c r="O107" s="73">
        <f>L107/I107</f>
        <v>0.90034905393019327</v>
      </c>
      <c r="P107" s="83">
        <f>M107/L107</f>
        <v>0.68617842756365177</v>
      </c>
      <c r="Q107" s="83">
        <f>P107*O107</f>
        <v>0.61780009808424152</v>
      </c>
      <c r="R107" s="79"/>
      <c r="S107" s="80"/>
      <c r="T107" s="79"/>
      <c r="U107" s="79"/>
      <c r="V107" s="79"/>
      <c r="W107" s="79"/>
      <c r="X107" s="71"/>
      <c r="Y107" s="80"/>
      <c r="Z107" s="79"/>
      <c r="AA107" s="79"/>
      <c r="AB107" s="73"/>
      <c r="AC107" s="79"/>
      <c r="AD107" s="71"/>
      <c r="AE107" s="80"/>
      <c r="AF107" s="79"/>
      <c r="AG107" s="79"/>
      <c r="AH107" s="79"/>
      <c r="AI107" s="79"/>
      <c r="AJ107" s="71"/>
      <c r="AK107" s="72"/>
      <c r="AL107" s="73"/>
      <c r="AM107" s="74"/>
      <c r="AN107" s="75">
        <v>0.5</v>
      </c>
    </row>
    <row r="108" spans="1:40" ht="15.6" x14ac:dyDescent="0.3">
      <c r="A108" s="29">
        <v>1882</v>
      </c>
      <c r="B108" s="76">
        <v>39.340772000000001</v>
      </c>
      <c r="C108" s="82">
        <f t="shared" si="21"/>
        <v>26.56892678292823</v>
      </c>
      <c r="D108" s="73">
        <v>0.67535346746444702</v>
      </c>
      <c r="E108" s="73">
        <v>0.33453357219696045</v>
      </c>
      <c r="F108" s="73">
        <v>2.8539584949612617E-2</v>
      </c>
      <c r="G108" s="73">
        <v>3.9804048836231232E-2</v>
      </c>
      <c r="H108" s="73">
        <v>1.9673177972435951E-2</v>
      </c>
      <c r="I108" s="82">
        <f t="shared" si="23"/>
        <v>11.292753158518787</v>
      </c>
      <c r="J108" s="73">
        <f t="shared" si="19"/>
        <v>0.45517179973256766</v>
      </c>
      <c r="K108" s="74">
        <f t="shared" si="20"/>
        <v>0.91889687251011121</v>
      </c>
      <c r="L108" s="77"/>
      <c r="M108" s="77"/>
      <c r="N108" s="77"/>
      <c r="O108" s="77"/>
      <c r="P108" s="73"/>
      <c r="Q108" s="73"/>
      <c r="R108" s="79"/>
      <c r="S108" s="80"/>
      <c r="T108" s="79"/>
      <c r="U108" s="79"/>
      <c r="V108" s="79"/>
      <c r="W108" s="79"/>
      <c r="X108" s="71"/>
      <c r="Y108" s="80"/>
      <c r="Z108" s="79"/>
      <c r="AA108" s="79"/>
      <c r="AB108" s="73"/>
      <c r="AC108" s="79"/>
      <c r="AD108" s="71"/>
      <c r="AE108" s="80"/>
      <c r="AF108" s="79"/>
      <c r="AG108" s="79"/>
      <c r="AH108" s="79"/>
      <c r="AI108" s="79"/>
      <c r="AJ108" s="71"/>
      <c r="AK108" s="72"/>
      <c r="AL108" s="73"/>
      <c r="AM108" s="74"/>
      <c r="AN108" s="75">
        <v>0.5</v>
      </c>
    </row>
    <row r="109" spans="1:40" ht="15.6" x14ac:dyDescent="0.3">
      <c r="A109" s="29">
        <v>1883</v>
      </c>
      <c r="B109" s="76">
        <v>39.449618000000001</v>
      </c>
      <c r="C109" s="82">
        <f t="shared" si="21"/>
        <v>26.648930819298865</v>
      </c>
      <c r="D109" s="73">
        <v>0.67551809549331665</v>
      </c>
      <c r="E109" s="73">
        <v>0.33476465940475464</v>
      </c>
      <c r="F109" s="73">
        <v>2.9158029705286026E-2</v>
      </c>
      <c r="G109" s="73">
        <v>3.968304768204689E-2</v>
      </c>
      <c r="H109" s="73">
        <v>1.9684119150042534E-2</v>
      </c>
      <c r="I109" s="82">
        <f t="shared" si="23"/>
        <v>11.326773301033464</v>
      </c>
      <c r="J109" s="73">
        <f t="shared" si="19"/>
        <v>0.45509851878422619</v>
      </c>
      <c r="K109" s="74">
        <f t="shared" si="20"/>
        <v>0.91833852837867236</v>
      </c>
      <c r="L109" s="77"/>
      <c r="M109" s="77"/>
      <c r="N109" s="77"/>
      <c r="O109" s="77"/>
      <c r="P109" s="73"/>
      <c r="Q109" s="73"/>
      <c r="R109" s="79"/>
      <c r="S109" s="80"/>
      <c r="T109" s="79"/>
      <c r="U109" s="79"/>
      <c r="V109" s="79"/>
      <c r="W109" s="79"/>
      <c r="X109" s="71"/>
      <c r="Y109" s="80"/>
      <c r="Z109" s="79"/>
      <c r="AA109" s="79"/>
      <c r="AB109" s="73"/>
      <c r="AC109" s="79"/>
      <c r="AD109" s="71"/>
      <c r="AE109" s="80"/>
      <c r="AF109" s="79"/>
      <c r="AG109" s="79"/>
      <c r="AH109" s="79"/>
      <c r="AI109" s="79"/>
      <c r="AJ109" s="71"/>
      <c r="AK109" s="72"/>
      <c r="AL109" s="73"/>
      <c r="AM109" s="74"/>
      <c r="AN109" s="75">
        <v>0.5</v>
      </c>
    </row>
    <row r="110" spans="1:40" ht="15.6" x14ac:dyDescent="0.3">
      <c r="A110" s="29">
        <v>1884</v>
      </c>
      <c r="B110" s="76">
        <v>39.558337999999999</v>
      </c>
      <c r="C110" s="82">
        <f t="shared" si="21"/>
        <v>26.728869052826404</v>
      </c>
      <c r="D110" s="73">
        <v>0.67568230628967285</v>
      </c>
      <c r="E110" s="73">
        <v>0.33499407768249512</v>
      </c>
      <c r="F110" s="73">
        <v>2.9772935435175896E-2</v>
      </c>
      <c r="G110" s="73">
        <v>3.9562810212373734E-2</v>
      </c>
      <c r="H110" s="73">
        <v>1.9695064052939415E-2</v>
      </c>
      <c r="I110" s="82">
        <f t="shared" si="23"/>
        <v>11.360736570524763</v>
      </c>
      <c r="J110" s="73">
        <f t="shared" si="19"/>
        <v>0.45502451518249987</v>
      </c>
      <c r="K110" s="74">
        <f t="shared" si="20"/>
        <v>0.91778343057232337</v>
      </c>
      <c r="L110" s="77"/>
      <c r="M110" s="77"/>
      <c r="N110" s="77"/>
      <c r="O110" s="77"/>
      <c r="P110" s="73"/>
      <c r="Q110" s="73"/>
      <c r="R110" s="79"/>
      <c r="S110" s="80"/>
      <c r="T110" s="79"/>
      <c r="U110" s="79"/>
      <c r="V110" s="79"/>
      <c r="W110" s="79"/>
      <c r="X110" s="71"/>
      <c r="Y110" s="80"/>
      <c r="Z110" s="79"/>
      <c r="AA110" s="79"/>
      <c r="AB110" s="73"/>
      <c r="AC110" s="79"/>
      <c r="AD110" s="71"/>
      <c r="AE110" s="80"/>
      <c r="AF110" s="79"/>
      <c r="AG110" s="79"/>
      <c r="AH110" s="79"/>
      <c r="AI110" s="79"/>
      <c r="AJ110" s="71"/>
      <c r="AK110" s="72"/>
      <c r="AL110" s="73"/>
      <c r="AM110" s="74"/>
      <c r="AN110" s="75">
        <v>0.5</v>
      </c>
    </row>
    <row r="111" spans="1:40" ht="15.6" x14ac:dyDescent="0.3">
      <c r="A111" s="29">
        <v>1885</v>
      </c>
      <c r="B111" s="76">
        <v>39.667183999999999</v>
      </c>
      <c r="C111" s="82">
        <f t="shared" si="21"/>
        <v>26.808852489861486</v>
      </c>
      <c r="D111" s="73">
        <v>0.67584460973739624</v>
      </c>
      <c r="E111" s="73">
        <v>0.33522194623947144</v>
      </c>
      <c r="F111" s="73">
        <v>3.0384603887796402E-2</v>
      </c>
      <c r="G111" s="73">
        <v>3.9443131536245346E-2</v>
      </c>
      <c r="H111" s="73">
        <v>1.9705886021256447E-2</v>
      </c>
      <c r="I111" s="82">
        <f t="shared" si="23"/>
        <v>11.394711413243879</v>
      </c>
      <c r="J111" s="73">
        <f t="shared" si="19"/>
        <v>0.4549507007883879</v>
      </c>
      <c r="K111" s="74">
        <f t="shared" si="20"/>
        <v>0.91723105325697352</v>
      </c>
      <c r="L111" s="82">
        <f>B$335/1000000</f>
        <v>10.171652</v>
      </c>
      <c r="M111" s="82">
        <f>D$335/1000000</f>
        <v>7.8837450000000002</v>
      </c>
      <c r="N111" s="77"/>
      <c r="O111" s="73">
        <f>L111/I111</f>
        <v>0.89266429232930478</v>
      </c>
      <c r="P111" s="83">
        <f>M111/L111</f>
        <v>0.77507026390600076</v>
      </c>
      <c r="Q111" s="83">
        <f>P111*O111</f>
        <v>0.69187754863513762</v>
      </c>
      <c r="R111" s="79"/>
      <c r="S111" s="80"/>
      <c r="T111" s="79"/>
      <c r="U111" s="79"/>
      <c r="V111" s="79"/>
      <c r="W111" s="79"/>
      <c r="X111" s="71"/>
      <c r="Y111" s="80"/>
      <c r="Z111" s="79"/>
      <c r="AA111" s="79"/>
      <c r="AB111" s="73"/>
      <c r="AC111" s="79"/>
      <c r="AD111" s="71"/>
      <c r="AE111" s="80"/>
      <c r="AF111" s="79"/>
      <c r="AG111" s="79"/>
      <c r="AH111" s="79"/>
      <c r="AI111" s="79"/>
      <c r="AJ111" s="71"/>
      <c r="AK111" s="72"/>
      <c r="AL111" s="73"/>
      <c r="AM111" s="74"/>
      <c r="AN111" s="75">
        <v>0.5</v>
      </c>
    </row>
    <row r="112" spans="1:40" ht="15.6" x14ac:dyDescent="0.3">
      <c r="A112" s="29">
        <v>1886</v>
      </c>
      <c r="B112" s="76">
        <v>39.776003000000003</v>
      </c>
      <c r="C112" s="82">
        <f t="shared" si="21"/>
        <v>26.888836411030354</v>
      </c>
      <c r="D112" s="73">
        <v>0.6760064959526062</v>
      </c>
      <c r="E112" s="73">
        <v>0.33544835448265076</v>
      </c>
      <c r="F112" s="73">
        <v>3.0992932617664337E-2</v>
      </c>
      <c r="G112" s="73">
        <v>3.9322756230831146E-2</v>
      </c>
      <c r="H112" s="73">
        <v>1.9716812297701836E-2</v>
      </c>
      <c r="I112" s="82">
        <f t="shared" si="23"/>
        <v>11.428679676599188</v>
      </c>
      <c r="J112" s="73">
        <f t="shared" si="19"/>
        <v>0.45487636787519348</v>
      </c>
      <c r="K112" s="74">
        <f t="shared" si="20"/>
        <v>0.916681734847687</v>
      </c>
      <c r="L112" s="77"/>
      <c r="M112" s="77"/>
      <c r="N112" s="77"/>
      <c r="O112" s="77"/>
      <c r="P112" s="73"/>
      <c r="Q112" s="73"/>
      <c r="R112" s="79"/>
      <c r="S112" s="80"/>
      <c r="T112" s="79"/>
      <c r="U112" s="79"/>
      <c r="V112" s="79"/>
      <c r="W112" s="79"/>
      <c r="X112" s="71"/>
      <c r="Y112" s="80"/>
      <c r="Z112" s="79"/>
      <c r="AA112" s="79"/>
      <c r="AB112" s="73"/>
      <c r="AC112" s="79"/>
      <c r="AD112" s="71"/>
      <c r="AE112" s="80"/>
      <c r="AF112" s="79"/>
      <c r="AG112" s="79"/>
      <c r="AH112" s="79"/>
      <c r="AI112" s="79"/>
      <c r="AJ112" s="71"/>
      <c r="AK112" s="72"/>
      <c r="AL112" s="73"/>
      <c r="AM112" s="74"/>
      <c r="AN112" s="75">
        <v>0.5</v>
      </c>
    </row>
    <row r="113" spans="1:40" ht="15.6" x14ac:dyDescent="0.3">
      <c r="A113" s="29">
        <v>1887</v>
      </c>
      <c r="B113" s="76">
        <v>39.808183999999997</v>
      </c>
      <c r="C113" s="82">
        <f t="shared" si="21"/>
        <v>26.957448095734119</v>
      </c>
      <c r="D113" s="73">
        <v>0.67718356847763062</v>
      </c>
      <c r="E113" s="73">
        <v>0.33573859930038452</v>
      </c>
      <c r="F113" s="73">
        <v>3.097350150346756E-2</v>
      </c>
      <c r="G113" s="73">
        <v>3.9488084614276886E-2</v>
      </c>
      <c r="H113" s="73">
        <v>1.9746467471122742E-2</v>
      </c>
      <c r="I113" s="82">
        <f t="shared" si="23"/>
        <v>11.451413090969318</v>
      </c>
      <c r="J113" s="73">
        <f t="shared" si="19"/>
        <v>0.45458196596470085</v>
      </c>
      <c r="K113" s="74">
        <f t="shared" si="20"/>
        <v>0.91689021911398794</v>
      </c>
      <c r="L113" s="77"/>
      <c r="M113" s="77"/>
      <c r="N113" s="77"/>
      <c r="O113" s="77"/>
      <c r="P113" s="73"/>
      <c r="Q113" s="73"/>
      <c r="R113" s="79"/>
      <c r="S113" s="80"/>
      <c r="T113" s="79"/>
      <c r="U113" s="79"/>
      <c r="V113" s="79"/>
      <c r="W113" s="79"/>
      <c r="X113" s="71"/>
      <c r="Y113" s="80"/>
      <c r="Z113" s="79"/>
      <c r="AA113" s="79"/>
      <c r="AB113" s="73"/>
      <c r="AC113" s="79"/>
      <c r="AD113" s="71"/>
      <c r="AE113" s="80"/>
      <c r="AF113" s="79"/>
      <c r="AG113" s="79"/>
      <c r="AH113" s="79"/>
      <c r="AI113" s="79"/>
      <c r="AJ113" s="71"/>
      <c r="AK113" s="72"/>
      <c r="AL113" s="73"/>
      <c r="AM113" s="74"/>
      <c r="AN113" s="75">
        <v>0.5</v>
      </c>
    </row>
    <row r="114" spans="1:40" ht="15.6" x14ac:dyDescent="0.3">
      <c r="A114" s="29">
        <v>1888</v>
      </c>
      <c r="B114" s="76">
        <v>39.840437000000001</v>
      </c>
      <c r="C114" s="82">
        <f t="shared" si="21"/>
        <v>27.026115515568137</v>
      </c>
      <c r="D114" s="73">
        <v>0.67835891246795654</v>
      </c>
      <c r="E114" s="73">
        <v>0.33602875471115112</v>
      </c>
      <c r="F114" s="73">
        <v>3.0954176560044289E-2</v>
      </c>
      <c r="G114" s="73">
        <v>3.965262696146965E-2</v>
      </c>
      <c r="H114" s="73">
        <v>1.9776841625571251E-2</v>
      </c>
      <c r="I114" s="82">
        <f t="shared" si="23"/>
        <v>11.474172310075833</v>
      </c>
      <c r="J114" s="73">
        <f t="shared" si="19"/>
        <v>0.45428961655589523</v>
      </c>
      <c r="K114" s="74">
        <f t="shared" si="20"/>
        <v>0.91709833135335372</v>
      </c>
      <c r="L114" s="77"/>
      <c r="M114" s="77"/>
      <c r="N114" s="77"/>
      <c r="O114" s="77"/>
      <c r="P114" s="73"/>
      <c r="Q114" s="73"/>
      <c r="R114" s="79"/>
      <c r="S114" s="80"/>
      <c r="T114" s="79"/>
      <c r="U114" s="79"/>
      <c r="V114" s="79"/>
      <c r="W114" s="79"/>
      <c r="X114" s="71"/>
      <c r="Y114" s="80"/>
      <c r="Z114" s="79"/>
      <c r="AA114" s="79"/>
      <c r="AB114" s="73"/>
      <c r="AC114" s="79"/>
      <c r="AD114" s="71"/>
      <c r="AE114" s="80"/>
      <c r="AF114" s="79"/>
      <c r="AG114" s="79"/>
      <c r="AH114" s="79"/>
      <c r="AI114" s="79"/>
      <c r="AJ114" s="71"/>
      <c r="AK114" s="72"/>
      <c r="AL114" s="73"/>
      <c r="AM114" s="74"/>
      <c r="AN114" s="75">
        <v>0.5</v>
      </c>
    </row>
    <row r="115" spans="1:40" ht="15.6" x14ac:dyDescent="0.3">
      <c r="A115" s="29">
        <v>1889</v>
      </c>
      <c r="B115" s="76">
        <v>39.872489999999999</v>
      </c>
      <c r="C115" s="82">
        <f t="shared" si="21"/>
        <v>27.094620652109384</v>
      </c>
      <c r="D115" s="73">
        <v>0.67953169345855713</v>
      </c>
      <c r="E115" s="73">
        <v>0.33631810545921326</v>
      </c>
      <c r="F115" s="73">
        <v>3.0934689566493034E-2</v>
      </c>
      <c r="G115" s="73">
        <v>3.9816275238990784E-2</v>
      </c>
      <c r="H115" s="73">
        <v>1.9806614145636559E-2</v>
      </c>
      <c r="I115" s="82">
        <f t="shared" si="23"/>
        <v>11.496855351905925</v>
      </c>
      <c r="J115" s="73">
        <f t="shared" si="19"/>
        <v>0.45399895710613397</v>
      </c>
      <c r="K115" s="74">
        <f t="shared" si="20"/>
        <v>0.91730619060639296</v>
      </c>
      <c r="L115" s="82">
        <f>B$330/1000000</f>
        <v>10.434279</v>
      </c>
      <c r="M115" s="82">
        <f>D$330/1000000</f>
        <v>7.9958020000000003</v>
      </c>
      <c r="N115" s="77"/>
      <c r="O115" s="73">
        <f>L115/I115</f>
        <v>0.90757678344367676</v>
      </c>
      <c r="P115" s="83">
        <f>M115/L115</f>
        <v>0.76630134195184929</v>
      </c>
      <c r="Q115" s="83">
        <f>P115*O115</f>
        <v>0.69547730707723243</v>
      </c>
      <c r="R115" s="79"/>
      <c r="S115" s="80"/>
      <c r="T115" s="79"/>
      <c r="U115" s="79"/>
      <c r="V115" s="79"/>
      <c r="W115" s="79"/>
      <c r="X115" s="71"/>
      <c r="Y115" s="80"/>
      <c r="Z115" s="79"/>
      <c r="AA115" s="79"/>
      <c r="AB115" s="73"/>
      <c r="AC115" s="79"/>
      <c r="AD115" s="71"/>
      <c r="AE115" s="80"/>
      <c r="AF115" s="79"/>
      <c r="AG115" s="79"/>
      <c r="AH115" s="79"/>
      <c r="AI115" s="79"/>
      <c r="AJ115" s="71"/>
      <c r="AK115" s="72"/>
      <c r="AL115" s="73"/>
      <c r="AM115" s="74"/>
      <c r="AN115" s="75">
        <v>0.5</v>
      </c>
    </row>
    <row r="116" spans="1:40" ht="15.6" x14ac:dyDescent="0.3">
      <c r="A116" s="29">
        <v>1890</v>
      </c>
      <c r="B116" s="76">
        <v>39.904743000000003</v>
      </c>
      <c r="C116" s="82">
        <f t="shared" si="21"/>
        <v>27.163265756602765</v>
      </c>
      <c r="D116" s="73">
        <v>0.68070268630981445</v>
      </c>
      <c r="E116" s="73">
        <v>0.33660712838172913</v>
      </c>
      <c r="F116" s="73">
        <v>3.0915426090359688E-2</v>
      </c>
      <c r="G116" s="73">
        <v>3.9980284869670868E-2</v>
      </c>
      <c r="H116" s="73">
        <v>1.9836889579892159E-2</v>
      </c>
      <c r="I116" s="82">
        <f t="shared" si="23"/>
        <v>11.519577712355304</v>
      </c>
      <c r="J116" s="73">
        <f t="shared" si="19"/>
        <v>0.45370998219867681</v>
      </c>
      <c r="K116" s="74">
        <f t="shared" si="20"/>
        <v>0.91751355704498261</v>
      </c>
      <c r="L116" s="77"/>
      <c r="M116" s="77"/>
      <c r="N116" s="77"/>
      <c r="O116" s="77"/>
      <c r="P116" s="73"/>
      <c r="Q116" s="73"/>
      <c r="R116" s="79"/>
      <c r="S116" s="80"/>
      <c r="T116" s="79"/>
      <c r="U116" s="79"/>
      <c r="V116" s="79"/>
      <c r="W116" s="79"/>
      <c r="X116" s="71"/>
      <c r="Y116" s="80"/>
      <c r="Z116" s="79"/>
      <c r="AA116" s="79"/>
      <c r="AB116" s="73"/>
      <c r="AC116" s="79"/>
      <c r="AD116" s="71"/>
      <c r="AE116" s="80"/>
      <c r="AF116" s="79"/>
      <c r="AG116" s="79"/>
      <c r="AH116" s="79"/>
      <c r="AI116" s="79"/>
      <c r="AJ116" s="71"/>
      <c r="AK116" s="72"/>
      <c r="AL116" s="73"/>
      <c r="AM116" s="74"/>
      <c r="AN116" s="75">
        <v>0.5</v>
      </c>
    </row>
    <row r="117" spans="1:40" ht="15.6" x14ac:dyDescent="0.3">
      <c r="A117" s="29">
        <v>1891</v>
      </c>
      <c r="B117" s="76">
        <v>39.936923999999998</v>
      </c>
      <c r="C117" s="82">
        <f t="shared" si="21"/>
        <v>27.231794476685998</v>
      </c>
      <c r="D117" s="73">
        <v>0.68187010288238525</v>
      </c>
      <c r="E117" s="73">
        <v>0.33689495921134949</v>
      </c>
      <c r="F117" s="73">
        <v>3.0896119773387909E-2</v>
      </c>
      <c r="G117" s="73">
        <v>4.0144555270671844E-2</v>
      </c>
      <c r="H117" s="73">
        <v>1.9866352900862694E-2</v>
      </c>
      <c r="I117" s="82">
        <f t="shared" si="23"/>
        <v>11.542227714275327</v>
      </c>
      <c r="J117" s="73">
        <f t="shared" si="19"/>
        <v>0.45342268766043331</v>
      </c>
      <c r="K117" s="74">
        <f t="shared" si="20"/>
        <v>0.9177203939411499</v>
      </c>
      <c r="L117" s="77"/>
      <c r="M117" s="77"/>
      <c r="N117" s="77"/>
      <c r="O117" s="77"/>
      <c r="P117" s="73"/>
      <c r="Q117" s="73"/>
      <c r="R117" s="79"/>
      <c r="S117" s="80"/>
      <c r="T117" s="79"/>
      <c r="U117" s="79"/>
      <c r="V117" s="79"/>
      <c r="W117" s="79"/>
      <c r="X117" s="71"/>
      <c r="Y117" s="80"/>
      <c r="Z117" s="79"/>
      <c r="AA117" s="79"/>
      <c r="AB117" s="73"/>
      <c r="AC117" s="79"/>
      <c r="AD117" s="71"/>
      <c r="AE117" s="80"/>
      <c r="AF117" s="79"/>
      <c r="AG117" s="79"/>
      <c r="AH117" s="79"/>
      <c r="AI117" s="79"/>
      <c r="AJ117" s="71"/>
      <c r="AK117" s="72"/>
      <c r="AL117" s="73"/>
      <c r="AM117" s="74"/>
      <c r="AN117" s="75">
        <v>0.5</v>
      </c>
    </row>
    <row r="118" spans="1:40" ht="15.6" x14ac:dyDescent="0.3">
      <c r="A118" s="29">
        <v>1892</v>
      </c>
      <c r="B118" s="76">
        <v>39.979959999999998</v>
      </c>
      <c r="C118" s="82">
        <f t="shared" si="21"/>
        <v>27.307815089299677</v>
      </c>
      <c r="D118" s="73">
        <v>0.68303757905960083</v>
      </c>
      <c r="E118" s="73">
        <v>0.33718320727348328</v>
      </c>
      <c r="F118" s="73">
        <v>3.0427711084485054E-2</v>
      </c>
      <c r="G118" s="73">
        <v>4.0289834141731262E-2</v>
      </c>
      <c r="H118" s="73">
        <v>1.985134556889534E-2</v>
      </c>
      <c r="I118" s="82">
        <f t="shared" si="23"/>
        <v>11.57363082097846</v>
      </c>
      <c r="J118" s="73">
        <f t="shared" si="19"/>
        <v>0.45334706785790552</v>
      </c>
      <c r="K118" s="74">
        <f t="shared" si="20"/>
        <v>0.91835262558695063</v>
      </c>
      <c r="L118" s="77"/>
      <c r="M118" s="77"/>
      <c r="N118" s="77"/>
      <c r="O118" s="77"/>
      <c r="P118" s="73"/>
      <c r="Q118" s="73"/>
      <c r="R118" s="79"/>
      <c r="S118" s="80"/>
      <c r="T118" s="79"/>
      <c r="U118" s="79"/>
      <c r="V118" s="79"/>
      <c r="W118" s="79"/>
      <c r="X118" s="71"/>
      <c r="Y118" s="80"/>
      <c r="Z118" s="79"/>
      <c r="AA118" s="79"/>
      <c r="AB118" s="73"/>
      <c r="AC118" s="79"/>
      <c r="AD118" s="71"/>
      <c r="AE118" s="80"/>
      <c r="AF118" s="79"/>
      <c r="AG118" s="79"/>
      <c r="AH118" s="79"/>
      <c r="AI118" s="79"/>
      <c r="AJ118" s="71"/>
      <c r="AK118" s="72"/>
      <c r="AL118" s="73"/>
      <c r="AM118" s="74"/>
      <c r="AN118" s="75">
        <v>0.5</v>
      </c>
    </row>
    <row r="119" spans="1:40" ht="15.6" x14ac:dyDescent="0.3">
      <c r="A119" s="29">
        <v>1893</v>
      </c>
      <c r="B119" s="76">
        <v>40.023085000000002</v>
      </c>
      <c r="C119" s="82">
        <f t="shared" si="21"/>
        <v>27.383870648399295</v>
      </c>
      <c r="D119" s="73">
        <v>0.68420189619064331</v>
      </c>
      <c r="E119" s="73">
        <v>0.33747038245201111</v>
      </c>
      <c r="F119" s="73">
        <v>2.9960198327898979E-2</v>
      </c>
      <c r="G119" s="73">
        <v>4.0434837341308594E-2</v>
      </c>
      <c r="H119" s="73">
        <v>1.9835652783513069E-2</v>
      </c>
      <c r="I119" s="82">
        <f t="shared" si="23"/>
        <v>11.605041547162298</v>
      </c>
      <c r="J119" s="73">
        <f t="shared" si="19"/>
        <v>0.45327230995114282</v>
      </c>
      <c r="K119" s="74">
        <f t="shared" si="20"/>
        <v>0.91898368000749198</v>
      </c>
      <c r="L119" s="82">
        <f>B$325/1000000</f>
        <v>10.423704000000001</v>
      </c>
      <c r="M119" s="82">
        <f>D$325/1000000</f>
        <v>7.3767050000000003</v>
      </c>
      <c r="N119" s="77"/>
      <c r="O119" s="73">
        <f>L119/I119</f>
        <v>0.89820479811628406</v>
      </c>
      <c r="P119" s="83">
        <f>M119/L119</f>
        <v>0.70768557894583339</v>
      </c>
      <c r="Q119" s="83">
        <f>P119*O119</f>
        <v>0.63564658256684792</v>
      </c>
      <c r="R119" s="79"/>
      <c r="S119" s="80"/>
      <c r="T119" s="79"/>
      <c r="U119" s="79"/>
      <c r="V119" s="79"/>
      <c r="W119" s="79"/>
      <c r="X119" s="71"/>
      <c r="Y119" s="80"/>
      <c r="Z119" s="79"/>
      <c r="AA119" s="79"/>
      <c r="AB119" s="73"/>
      <c r="AC119" s="79"/>
      <c r="AD119" s="71"/>
      <c r="AE119" s="80"/>
      <c r="AF119" s="79"/>
      <c r="AG119" s="79"/>
      <c r="AH119" s="79"/>
      <c r="AI119" s="79"/>
      <c r="AJ119" s="71"/>
      <c r="AK119" s="72"/>
      <c r="AL119" s="73"/>
      <c r="AM119" s="74"/>
      <c r="AN119" s="75">
        <v>0.5</v>
      </c>
    </row>
    <row r="120" spans="1:40" ht="15.6" x14ac:dyDescent="0.3">
      <c r="A120" s="29">
        <v>1894</v>
      </c>
      <c r="B120" s="76">
        <v>40.066132000000003</v>
      </c>
      <c r="C120" s="82">
        <f t="shared" si="21"/>
        <v>27.459887198694471</v>
      </c>
      <c r="D120" s="73">
        <v>0.68536406755447388</v>
      </c>
      <c r="E120" s="73">
        <v>0.33775725960731506</v>
      </c>
      <c r="F120" s="73">
        <v>2.9493724927306175E-2</v>
      </c>
      <c r="G120" s="73">
        <v>4.0580108761787415E-2</v>
      </c>
      <c r="H120" s="73">
        <v>1.982077956199646E-2</v>
      </c>
      <c r="I120" s="82">
        <f t="shared" si="23"/>
        <v>11.636434254919479</v>
      </c>
      <c r="J120" s="73">
        <f t="shared" si="19"/>
        <v>0.45319878691223486</v>
      </c>
      <c r="K120" s="74">
        <f t="shared" si="20"/>
        <v>0.91961358393907189</v>
      </c>
      <c r="L120" s="77"/>
      <c r="M120" s="77"/>
      <c r="N120" s="77"/>
      <c r="O120" s="77"/>
      <c r="P120" s="73"/>
      <c r="Q120" s="73"/>
      <c r="R120" s="79"/>
      <c r="S120" s="80"/>
      <c r="T120" s="79"/>
      <c r="U120" s="79"/>
      <c r="V120" s="79"/>
      <c r="W120" s="79"/>
      <c r="X120" s="71"/>
      <c r="Y120" s="80"/>
      <c r="Z120" s="79"/>
      <c r="AA120" s="79"/>
      <c r="AB120" s="73"/>
      <c r="AC120" s="79"/>
      <c r="AD120" s="71"/>
      <c r="AE120" s="80"/>
      <c r="AF120" s="79"/>
      <c r="AG120" s="79"/>
      <c r="AH120" s="79"/>
      <c r="AI120" s="79"/>
      <c r="AJ120" s="71"/>
      <c r="AK120" s="72"/>
      <c r="AL120" s="73"/>
      <c r="AM120" s="74"/>
      <c r="AN120" s="75">
        <v>0.5</v>
      </c>
    </row>
    <row r="121" spans="1:40" ht="15.6" x14ac:dyDescent="0.3">
      <c r="A121" s="29">
        <v>1895</v>
      </c>
      <c r="B121" s="76">
        <v>40.109256999999999</v>
      </c>
      <c r="C121" s="82">
        <f t="shared" si="21"/>
        <v>27.535966507493079</v>
      </c>
      <c r="D121" s="73">
        <v>0.68652397394180298</v>
      </c>
      <c r="E121" s="73">
        <v>0.3380434513092041</v>
      </c>
      <c r="F121" s="73">
        <v>2.9028218239545822E-2</v>
      </c>
      <c r="G121" s="73">
        <v>4.0724489837884903E-2</v>
      </c>
      <c r="H121" s="73">
        <v>1.9805153831839561E-2</v>
      </c>
      <c r="I121" s="82">
        <f t="shared" si="23"/>
        <v>11.667855167271092</v>
      </c>
      <c r="J121" s="73">
        <f t="shared" si="19"/>
        <v>0.45312607273142202</v>
      </c>
      <c r="K121" s="74">
        <f t="shared" si="20"/>
        <v>0.92024238583363516</v>
      </c>
      <c r="L121" s="77"/>
      <c r="M121" s="77"/>
      <c r="N121" s="77"/>
      <c r="O121" s="77"/>
      <c r="P121" s="73"/>
      <c r="Q121" s="73"/>
      <c r="R121" s="79"/>
      <c r="S121" s="80"/>
      <c r="T121" s="79"/>
      <c r="U121" s="79"/>
      <c r="V121" s="79"/>
      <c r="W121" s="79"/>
      <c r="X121" s="71"/>
      <c r="Y121" s="80"/>
      <c r="Z121" s="79"/>
      <c r="AA121" s="79"/>
      <c r="AB121" s="73"/>
      <c r="AC121" s="79"/>
      <c r="AD121" s="71"/>
      <c r="AE121" s="80"/>
      <c r="AF121" s="79"/>
      <c r="AG121" s="79"/>
      <c r="AH121" s="79"/>
      <c r="AI121" s="79"/>
      <c r="AJ121" s="71"/>
      <c r="AK121" s="72"/>
      <c r="AL121" s="73"/>
      <c r="AM121" s="74"/>
      <c r="AN121" s="75">
        <v>0.5</v>
      </c>
    </row>
    <row r="122" spans="1:40" ht="15.6" x14ac:dyDescent="0.3">
      <c r="A122" s="29">
        <v>1896</v>
      </c>
      <c r="B122" s="76">
        <v>40.152293</v>
      </c>
      <c r="C122" s="82">
        <f t="shared" si="21"/>
        <v>27.611998496878446</v>
      </c>
      <c r="D122" s="73">
        <v>0.68768173456192017</v>
      </c>
      <c r="E122" s="73">
        <v>0.33832910656929016</v>
      </c>
      <c r="F122" s="73">
        <v>2.856382355093956E-2</v>
      </c>
      <c r="G122" s="73">
        <v>4.0868524461984634E-2</v>
      </c>
      <c r="H122" s="73">
        <v>1.9790276885032654E-2</v>
      </c>
      <c r="I122" s="82">
        <f t="shared" si="23"/>
        <v>11.69925298173804</v>
      </c>
      <c r="J122" s="73">
        <f t="shared" si="19"/>
        <v>0.45305422154735298</v>
      </c>
      <c r="K122" s="74">
        <f t="shared" si="20"/>
        <v>0.92086996618033201</v>
      </c>
      <c r="L122" s="77"/>
      <c r="M122" s="77"/>
      <c r="N122" s="77"/>
      <c r="O122" s="77"/>
      <c r="P122" s="73"/>
      <c r="Q122" s="73"/>
      <c r="R122" s="79"/>
      <c r="S122" s="80"/>
      <c r="T122" s="79"/>
      <c r="U122" s="79"/>
      <c r="V122" s="79"/>
      <c r="W122" s="79"/>
      <c r="X122" s="71"/>
      <c r="Y122" s="80"/>
      <c r="Z122" s="79"/>
      <c r="AA122" s="79"/>
      <c r="AB122" s="73"/>
      <c r="AC122" s="79"/>
      <c r="AD122" s="71"/>
      <c r="AE122" s="80"/>
      <c r="AF122" s="79"/>
      <c r="AG122" s="79"/>
      <c r="AH122" s="79"/>
      <c r="AI122" s="79"/>
      <c r="AJ122" s="71"/>
      <c r="AK122" s="72"/>
      <c r="AL122" s="73"/>
      <c r="AM122" s="74"/>
      <c r="AN122" s="75">
        <v>0.5</v>
      </c>
    </row>
    <row r="123" spans="1:40" ht="15.6" x14ac:dyDescent="0.3">
      <c r="A123" s="29">
        <v>1897</v>
      </c>
      <c r="B123" s="76">
        <v>40.256382000000002</v>
      </c>
      <c r="C123" s="82">
        <f t="shared" si="21"/>
        <v>27.677136031115058</v>
      </c>
      <c r="D123" s="73">
        <v>0.68752169609069824</v>
      </c>
      <c r="E123" s="73">
        <v>0.33774304389953613</v>
      </c>
      <c r="F123" s="73">
        <v>2.8314460068941116E-2</v>
      </c>
      <c r="G123" s="73">
        <v>4.1154466569423676E-2</v>
      </c>
      <c r="H123" s="73">
        <v>1.9845945760607719E-2</v>
      </c>
      <c r="I123" s="82">
        <f t="shared" si="23"/>
        <v>11.708062638760222</v>
      </c>
      <c r="J123" s="73">
        <f t="shared" si="19"/>
        <v>0.45247809697337493</v>
      </c>
      <c r="K123" s="74">
        <f t="shared" si="20"/>
        <v>0.92108043168925036</v>
      </c>
      <c r="L123" s="77"/>
      <c r="M123" s="77"/>
      <c r="N123" s="77"/>
      <c r="O123" s="77"/>
      <c r="P123" s="73"/>
      <c r="Q123" s="73"/>
      <c r="R123" s="79"/>
      <c r="S123" s="80"/>
      <c r="T123" s="79"/>
      <c r="U123" s="79"/>
      <c r="V123" s="79"/>
      <c r="W123" s="79"/>
      <c r="X123" s="71"/>
      <c r="Y123" s="80"/>
      <c r="Z123" s="79"/>
      <c r="AA123" s="79"/>
      <c r="AB123" s="73"/>
      <c r="AC123" s="79"/>
      <c r="AD123" s="71"/>
      <c r="AE123" s="80"/>
      <c r="AF123" s="79"/>
      <c r="AG123" s="79"/>
      <c r="AH123" s="79"/>
      <c r="AI123" s="79"/>
      <c r="AJ123" s="71"/>
      <c r="AK123" s="72"/>
      <c r="AL123" s="73"/>
      <c r="AM123" s="74"/>
      <c r="AN123" s="75">
        <v>0.5</v>
      </c>
    </row>
    <row r="124" spans="1:40" ht="15.6" x14ac:dyDescent="0.3">
      <c r="A124" s="29">
        <v>1898</v>
      </c>
      <c r="B124" s="76">
        <v>40.360556000000003</v>
      </c>
      <c r="C124" s="82">
        <f t="shared" si="21"/>
        <v>27.742313108663321</v>
      </c>
      <c r="D124" s="73">
        <v>0.68736201524734497</v>
      </c>
      <c r="E124" s="73">
        <v>0.33715978264808655</v>
      </c>
      <c r="F124" s="73">
        <v>2.8066093102097511E-2</v>
      </c>
      <c r="G124" s="73">
        <v>4.143894836306572E-2</v>
      </c>
      <c r="H124" s="73">
        <v>1.990136131644249E-2</v>
      </c>
      <c r="I124" s="82">
        <f t="shared" si="23"/>
        <v>11.716892591303006</v>
      </c>
      <c r="J124" s="73">
        <f t="shared" si="19"/>
        <v>0.45190442348274273</v>
      </c>
      <c r="K124" s="74">
        <f t="shared" si="20"/>
        <v>0.92128999723701333</v>
      </c>
      <c r="L124" s="82">
        <f>B$320/1000000</f>
        <v>10.796104</v>
      </c>
      <c r="M124" s="82">
        <f>D$320/1000000</f>
        <v>8.1915829999999996</v>
      </c>
      <c r="N124" s="77"/>
      <c r="O124" s="73">
        <f>L124/I124</f>
        <v>0.92141358435030185</v>
      </c>
      <c r="P124" s="83">
        <f>M124/L124</f>
        <v>0.75875362075059671</v>
      </c>
      <c r="Q124" s="83">
        <f>P124*O124</f>
        <v>0.69912589333457686</v>
      </c>
      <c r="R124" s="79"/>
      <c r="S124" s="80"/>
      <c r="T124" s="79"/>
      <c r="U124" s="79"/>
      <c r="V124" s="79"/>
      <c r="W124" s="79"/>
      <c r="X124" s="71"/>
      <c r="Y124" s="80"/>
      <c r="Z124" s="79"/>
      <c r="AA124" s="79"/>
      <c r="AB124" s="73"/>
      <c r="AC124" s="79"/>
      <c r="AD124" s="71"/>
      <c r="AE124" s="80"/>
      <c r="AF124" s="79"/>
      <c r="AG124" s="79"/>
      <c r="AH124" s="79"/>
      <c r="AI124" s="79"/>
      <c r="AJ124" s="71"/>
      <c r="AK124" s="72"/>
      <c r="AL124" s="73"/>
      <c r="AM124" s="74"/>
      <c r="AN124" s="75">
        <v>0.5</v>
      </c>
    </row>
    <row r="125" spans="1:40" ht="15.6" x14ac:dyDescent="0.3">
      <c r="A125" s="29">
        <v>1899</v>
      </c>
      <c r="B125" s="76">
        <v>40.464674000000002</v>
      </c>
      <c r="C125" s="82">
        <f t="shared" si="21"/>
        <v>27.807471495111944</v>
      </c>
      <c r="D125" s="73">
        <v>0.68720364570617676</v>
      </c>
      <c r="E125" s="73">
        <v>0.33657991886138916</v>
      </c>
      <c r="F125" s="73">
        <v>2.7819225564599037E-2</v>
      </c>
      <c r="G125" s="73">
        <v>4.1722070425748825E-2</v>
      </c>
      <c r="H125" s="73">
        <v>1.9956691190600395E-2</v>
      </c>
      <c r="I125" s="82">
        <f t="shared" si="23"/>
        <v>11.725720379682278</v>
      </c>
      <c r="J125" s="73">
        <f t="shared" si="19"/>
        <v>0.45133322372072654</v>
      </c>
      <c r="K125" s="74">
        <f t="shared" si="20"/>
        <v>0.92149834077574444</v>
      </c>
      <c r="L125" s="77"/>
      <c r="M125" s="77"/>
      <c r="N125" s="77"/>
      <c r="O125" s="77"/>
      <c r="P125" s="73"/>
      <c r="Q125" s="73"/>
      <c r="R125" s="79"/>
      <c r="S125" s="80"/>
      <c r="T125" s="79"/>
      <c r="U125" s="79"/>
      <c r="V125" s="79"/>
      <c r="W125" s="79"/>
      <c r="X125" s="71"/>
      <c r="Y125" s="80"/>
      <c r="Z125" s="79"/>
      <c r="AA125" s="79"/>
      <c r="AB125" s="73"/>
      <c r="AC125" s="79"/>
      <c r="AD125" s="71"/>
      <c r="AE125" s="80"/>
      <c r="AF125" s="79"/>
      <c r="AG125" s="79"/>
      <c r="AH125" s="79"/>
      <c r="AI125" s="79"/>
      <c r="AJ125" s="71"/>
      <c r="AK125" s="72"/>
      <c r="AL125" s="73"/>
      <c r="AM125" s="74"/>
      <c r="AN125" s="75">
        <v>0.5</v>
      </c>
    </row>
    <row r="126" spans="1:40" ht="15.6" x14ac:dyDescent="0.3">
      <c r="A126" s="29">
        <v>1900</v>
      </c>
      <c r="B126" s="76">
        <v>40.568848000000003</v>
      </c>
      <c r="C126" s="82">
        <f t="shared" si="21"/>
        <v>27.872647468315126</v>
      </c>
      <c r="D126" s="73">
        <v>0.68704557418823242</v>
      </c>
      <c r="E126" s="73">
        <v>0.33600261807441711</v>
      </c>
      <c r="F126" s="73">
        <v>2.7573404833674431E-2</v>
      </c>
      <c r="G126" s="73">
        <v>4.2003631591796875E-2</v>
      </c>
      <c r="H126" s="73">
        <v>2.0011536777019501E-2</v>
      </c>
      <c r="I126" s="82">
        <f t="shared" si="23"/>
        <v>11.734553680765698</v>
      </c>
      <c r="J126" s="73">
        <f t="shared" si="19"/>
        <v>0.45076418381540612</v>
      </c>
      <c r="K126" s="74">
        <f t="shared" si="20"/>
        <v>0.92170572737726397</v>
      </c>
      <c r="L126" s="77"/>
      <c r="M126" s="77"/>
      <c r="N126" s="77"/>
      <c r="O126" s="77"/>
      <c r="P126" s="73"/>
      <c r="Q126" s="73"/>
      <c r="R126" s="79"/>
      <c r="S126" s="80"/>
      <c r="T126" s="79"/>
      <c r="U126" s="79"/>
      <c r="V126" s="79"/>
      <c r="W126" s="79"/>
      <c r="X126" s="71"/>
      <c r="Y126" s="80"/>
      <c r="Z126" s="79"/>
      <c r="AA126" s="79"/>
      <c r="AB126" s="73"/>
      <c r="AC126" s="79"/>
      <c r="AD126" s="71"/>
      <c r="AE126" s="80"/>
      <c r="AF126" s="79"/>
      <c r="AG126" s="79"/>
      <c r="AH126" s="79"/>
      <c r="AI126" s="79"/>
      <c r="AJ126" s="71"/>
      <c r="AK126" s="72"/>
      <c r="AL126" s="73"/>
      <c r="AM126" s="74"/>
      <c r="AN126" s="75">
        <v>0.5</v>
      </c>
    </row>
    <row r="127" spans="1:40" ht="15.6" x14ac:dyDescent="0.3">
      <c r="A127" s="29">
        <v>1901</v>
      </c>
      <c r="B127" s="76">
        <v>40.672936999999997</v>
      </c>
      <c r="C127" s="82">
        <f t="shared" si="21"/>
        <v>27.937783032411158</v>
      </c>
      <c r="D127" s="73">
        <v>0.68688875436782837</v>
      </c>
      <c r="E127" s="73">
        <v>0.335428386926651</v>
      </c>
      <c r="F127" s="73">
        <v>2.7329130098223686E-2</v>
      </c>
      <c r="G127" s="73">
        <v>4.2283743619918823E-2</v>
      </c>
      <c r="H127" s="73">
        <v>2.0066069439053535E-2</v>
      </c>
      <c r="I127" s="82">
        <f t="shared" si="23"/>
        <v>11.74336705236022</v>
      </c>
      <c r="J127" s="73">
        <f t="shared" si="19"/>
        <v>0.4501972101769548</v>
      </c>
      <c r="K127" s="74">
        <f t="shared" si="20"/>
        <v>0.92191183862426418</v>
      </c>
      <c r="L127" s="77"/>
      <c r="M127" s="77"/>
      <c r="N127" s="77"/>
      <c r="O127" s="77"/>
      <c r="P127" s="73"/>
      <c r="Q127" s="73"/>
      <c r="R127" s="79"/>
      <c r="S127" s="80"/>
      <c r="T127" s="79"/>
      <c r="U127" s="79"/>
      <c r="V127" s="79"/>
      <c r="W127" s="79"/>
      <c r="X127" s="71"/>
      <c r="Y127" s="80"/>
      <c r="Z127" s="79"/>
      <c r="AA127" s="79"/>
      <c r="AB127" s="73"/>
      <c r="AC127" s="79"/>
      <c r="AD127" s="71"/>
      <c r="AE127" s="80"/>
      <c r="AF127" s="79"/>
      <c r="AG127" s="79"/>
      <c r="AH127" s="79"/>
      <c r="AI127" s="79"/>
      <c r="AJ127" s="71"/>
      <c r="AK127" s="72"/>
      <c r="AL127" s="73"/>
      <c r="AM127" s="74"/>
      <c r="AN127" s="75">
        <v>0.5</v>
      </c>
    </row>
    <row r="128" spans="1:40" ht="15.6" x14ac:dyDescent="0.3">
      <c r="A128" s="29">
        <v>1902</v>
      </c>
      <c r="B128" s="76">
        <v>40.750042999999998</v>
      </c>
      <c r="C128" s="82">
        <f t="shared" si="21"/>
        <v>27.998241836916268</v>
      </c>
      <c r="D128" s="73">
        <v>0.68707269430160522</v>
      </c>
      <c r="E128" s="73">
        <v>0.33538851141929626</v>
      </c>
      <c r="F128" s="73">
        <v>2.7399742975831032E-2</v>
      </c>
      <c r="G128" s="73">
        <v>4.2667612433433533E-2</v>
      </c>
      <c r="H128" s="73">
        <v>2.0210728049278259E-2</v>
      </c>
      <c r="I128" s="82">
        <f t="shared" si="23"/>
        <v>11.75948855062996</v>
      </c>
      <c r="J128" s="73">
        <f t="shared" si="19"/>
        <v>0.45000506509789151</v>
      </c>
      <c r="K128" s="74">
        <f t="shared" si="20"/>
        <v>0.92187472736547904</v>
      </c>
      <c r="L128" s="82">
        <f>B$315/1000000</f>
        <v>11.013983</v>
      </c>
      <c r="M128" s="82">
        <f>D$315/1000000</f>
        <v>8.654363</v>
      </c>
      <c r="N128" s="77"/>
      <c r="O128" s="73">
        <f>L128/I128</f>
        <v>0.93660391373143315</v>
      </c>
      <c r="P128" s="83">
        <f>M128/L128</f>
        <v>0.78576142708773022</v>
      </c>
      <c r="Q128" s="83">
        <f>P128*O128</f>
        <v>0.73594722786956424</v>
      </c>
      <c r="R128" s="79"/>
      <c r="S128" s="80"/>
      <c r="T128" s="79"/>
      <c r="U128" s="79"/>
      <c r="V128" s="79"/>
      <c r="W128" s="79"/>
      <c r="X128" s="71"/>
      <c r="Y128" s="80"/>
      <c r="Z128" s="79"/>
      <c r="AA128" s="79"/>
      <c r="AB128" s="73"/>
      <c r="AC128" s="79"/>
      <c r="AD128" s="71"/>
      <c r="AE128" s="80"/>
      <c r="AF128" s="79"/>
      <c r="AG128" s="79"/>
      <c r="AH128" s="79"/>
      <c r="AI128" s="79"/>
      <c r="AJ128" s="71"/>
      <c r="AK128" s="72"/>
      <c r="AL128" s="73"/>
      <c r="AM128" s="74"/>
      <c r="AN128" s="75">
        <v>0.5</v>
      </c>
    </row>
    <row r="129" spans="1:40" ht="15.6" x14ac:dyDescent="0.3">
      <c r="A129" s="29">
        <v>1903</v>
      </c>
      <c r="B129" s="76">
        <v>40.827376000000001</v>
      </c>
      <c r="C129" s="82">
        <f t="shared" si="21"/>
        <v>28.058863112911226</v>
      </c>
      <c r="D129" s="73">
        <v>0.6872560977935791</v>
      </c>
      <c r="E129" s="73">
        <v>0.33534908294677734</v>
      </c>
      <c r="F129" s="73">
        <v>2.7469972148537636E-2</v>
      </c>
      <c r="G129" s="73">
        <v>4.3048713356256485E-2</v>
      </c>
      <c r="H129" s="73">
        <v>2.0354650914669037E-2</v>
      </c>
      <c r="I129" s="82">
        <f t="shared" si="23"/>
        <v>11.775704861496013</v>
      </c>
      <c r="J129" s="73">
        <f t="shared" si="19"/>
        <v>0.4498141108342591</v>
      </c>
      <c r="K129" s="74">
        <f t="shared" si="20"/>
        <v>0.9218378885309314</v>
      </c>
      <c r="L129" s="77"/>
      <c r="M129" s="77"/>
      <c r="N129" s="77"/>
      <c r="O129" s="77"/>
      <c r="P129" s="73"/>
      <c r="Q129" s="73"/>
      <c r="R129" s="79"/>
      <c r="S129" s="80"/>
      <c r="T129" s="79"/>
      <c r="U129" s="79"/>
      <c r="V129" s="79"/>
      <c r="W129" s="79"/>
      <c r="X129" s="71"/>
      <c r="Y129" s="80"/>
      <c r="Z129" s="79"/>
      <c r="AA129" s="79"/>
      <c r="AB129" s="73"/>
      <c r="AC129" s="79"/>
      <c r="AD129" s="71"/>
      <c r="AE129" s="80"/>
      <c r="AF129" s="79"/>
      <c r="AG129" s="79"/>
      <c r="AH129" s="79"/>
      <c r="AI129" s="79"/>
      <c r="AJ129" s="71"/>
      <c r="AK129" s="72"/>
      <c r="AL129" s="73"/>
      <c r="AM129" s="74"/>
      <c r="AN129" s="75">
        <v>0.5</v>
      </c>
    </row>
    <row r="130" spans="1:40" ht="15.6" x14ac:dyDescent="0.3">
      <c r="A130" s="29">
        <v>1904</v>
      </c>
      <c r="B130" s="76">
        <v>40.904434999999999</v>
      </c>
      <c r="C130" s="82">
        <f t="shared" si="21"/>
        <v>28.119312206295728</v>
      </c>
      <c r="D130" s="73">
        <v>0.6874392032623291</v>
      </c>
      <c r="E130" s="73">
        <v>0.33530986309051514</v>
      </c>
      <c r="F130" s="73">
        <v>2.7540193870663643E-2</v>
      </c>
      <c r="G130" s="73">
        <v>4.342898353934288E-2</v>
      </c>
      <c r="H130" s="73">
        <v>2.0497508347034454E-2</v>
      </c>
      <c r="I130" s="82">
        <f t="shared" si="23"/>
        <v>11.791835972818722</v>
      </c>
      <c r="J130" s="73">
        <f t="shared" si="19"/>
        <v>0.44962371513831528</v>
      </c>
      <c r="K130" s="74">
        <f t="shared" si="20"/>
        <v>0.92180100416281197</v>
      </c>
      <c r="L130" s="77"/>
      <c r="M130" s="77"/>
      <c r="N130" s="77"/>
      <c r="O130" s="77"/>
      <c r="P130" s="73"/>
      <c r="Q130" s="73"/>
      <c r="R130" s="79"/>
      <c r="S130" s="80"/>
      <c r="T130" s="79"/>
      <c r="U130" s="79"/>
      <c r="V130" s="79"/>
      <c r="W130" s="79"/>
      <c r="X130" s="71"/>
      <c r="Y130" s="80"/>
      <c r="Z130" s="79"/>
      <c r="AA130" s="79"/>
      <c r="AB130" s="73"/>
      <c r="AC130" s="79"/>
      <c r="AD130" s="71"/>
      <c r="AE130" s="80"/>
      <c r="AF130" s="79"/>
      <c r="AG130" s="79"/>
      <c r="AH130" s="79"/>
      <c r="AI130" s="79"/>
      <c r="AJ130" s="71"/>
      <c r="AK130" s="72"/>
      <c r="AL130" s="73"/>
      <c r="AM130" s="74"/>
      <c r="AN130" s="75">
        <v>0.5</v>
      </c>
    </row>
    <row r="131" spans="1:40" ht="15.6" x14ac:dyDescent="0.3">
      <c r="A131" s="29">
        <v>1905</v>
      </c>
      <c r="B131" s="76">
        <v>40.981768000000002</v>
      </c>
      <c r="C131" s="82">
        <f t="shared" si="21"/>
        <v>28.179931516670706</v>
      </c>
      <c r="D131" s="73">
        <v>0.68762117624282837</v>
      </c>
      <c r="E131" s="73">
        <v>0.33527070283889771</v>
      </c>
      <c r="F131" s="73">
        <v>2.7609895914793015E-2</v>
      </c>
      <c r="G131" s="73">
        <v>4.3807212263345718E-2</v>
      </c>
      <c r="H131" s="73">
        <v>2.0640349015593529E-2</v>
      </c>
      <c r="I131" s="82">
        <f t="shared" si="23"/>
        <v>11.808052156012808</v>
      </c>
      <c r="J131" s="73">
        <f t="shared" si="19"/>
        <v>0.44943439376623645</v>
      </c>
      <c r="K131" s="74">
        <f t="shared" si="20"/>
        <v>0.92176442459399854</v>
      </c>
      <c r="L131" s="77"/>
      <c r="M131" s="77"/>
      <c r="N131" s="77"/>
      <c r="O131" s="77"/>
      <c r="P131" s="73"/>
      <c r="Q131" s="73"/>
      <c r="R131" s="79"/>
      <c r="S131" s="80"/>
      <c r="T131" s="79"/>
      <c r="U131" s="79"/>
      <c r="V131" s="79"/>
      <c r="W131" s="79"/>
      <c r="X131" s="71"/>
      <c r="Y131" s="80"/>
      <c r="Z131" s="79"/>
      <c r="AA131" s="79"/>
      <c r="AB131" s="73"/>
      <c r="AC131" s="79"/>
      <c r="AD131" s="71"/>
      <c r="AE131" s="80"/>
      <c r="AF131" s="79"/>
      <c r="AG131" s="79"/>
      <c r="AH131" s="79"/>
      <c r="AI131" s="79"/>
      <c r="AJ131" s="71"/>
      <c r="AK131" s="72"/>
      <c r="AL131" s="73"/>
      <c r="AM131" s="74"/>
      <c r="AN131" s="75">
        <v>0.5</v>
      </c>
    </row>
    <row r="132" spans="1:40" ht="15.6" x14ac:dyDescent="0.3">
      <c r="A132" s="29">
        <v>1906</v>
      </c>
      <c r="B132" s="76">
        <v>41.058874000000003</v>
      </c>
      <c r="C132" s="82">
        <f t="shared" si="21"/>
        <v>28.240393473168613</v>
      </c>
      <c r="D132" s="73">
        <v>0.68780243396759033</v>
      </c>
      <c r="E132" s="73">
        <v>0.33523142337799072</v>
      </c>
      <c r="F132" s="73">
        <v>2.7679448947310448E-2</v>
      </c>
      <c r="G132" s="73">
        <v>4.4185332953929901E-2</v>
      </c>
      <c r="H132" s="73">
        <v>2.0782839506864548E-2</v>
      </c>
      <c r="I132" s="82">
        <f t="shared" si="23"/>
        <v>11.824176321046776</v>
      </c>
      <c r="J132" s="73">
        <f t="shared" si="19"/>
        <v>0.44924549445508477</v>
      </c>
      <c r="K132" s="74">
        <f t="shared" si="20"/>
        <v>0.92172786614569946</v>
      </c>
      <c r="L132" s="82">
        <f>B$310/1000000</f>
        <v>11.231025000000001</v>
      </c>
      <c r="M132" s="82">
        <f>D$310/1000000</f>
        <v>8.818994</v>
      </c>
      <c r="N132" s="77"/>
      <c r="O132" s="73">
        <f>L132/I132</f>
        <v>0.94983571752131446</v>
      </c>
      <c r="P132" s="83">
        <f>M132/L132</f>
        <v>0.78523500749041153</v>
      </c>
      <c r="Q132" s="83">
        <f>P132*O132</f>
        <v>0.74584425676250976</v>
      </c>
      <c r="R132" s="79"/>
      <c r="S132" s="80"/>
      <c r="T132" s="79"/>
      <c r="U132" s="79"/>
      <c r="V132" s="79"/>
      <c r="W132" s="79"/>
      <c r="X132" s="71"/>
      <c r="Y132" s="80"/>
      <c r="Z132" s="79"/>
      <c r="AA132" s="79"/>
      <c r="AB132" s="73"/>
      <c r="AC132" s="79"/>
      <c r="AD132" s="71"/>
      <c r="AE132" s="80"/>
      <c r="AF132" s="79"/>
      <c r="AG132" s="79"/>
      <c r="AH132" s="79"/>
      <c r="AI132" s="79"/>
      <c r="AJ132" s="71"/>
      <c r="AK132" s="72"/>
      <c r="AL132" s="73"/>
      <c r="AM132" s="74"/>
      <c r="AN132" s="75">
        <v>0.5</v>
      </c>
    </row>
    <row r="133" spans="1:40" ht="15.6" x14ac:dyDescent="0.3">
      <c r="A133" s="29">
        <v>1907</v>
      </c>
      <c r="B133" s="76">
        <v>41.132272999999998</v>
      </c>
      <c r="C133" s="82">
        <f t="shared" si="21"/>
        <v>28.31306268675965</v>
      </c>
      <c r="D133" s="73">
        <v>0.68834179639816284</v>
      </c>
      <c r="E133" s="73">
        <v>0.33532565832138062</v>
      </c>
      <c r="F133" s="73">
        <v>2.8220335021615028E-2</v>
      </c>
      <c r="G133" s="73">
        <v>4.4172614812850952E-2</v>
      </c>
      <c r="H133" s="73">
        <v>2.0806752145290375E-2</v>
      </c>
      <c r="I133" s="82">
        <f t="shared" si="23"/>
        <v>11.84464250142204</v>
      </c>
      <c r="J133" s="73">
        <f t="shared" si="19"/>
        <v>0.44881243958382694</v>
      </c>
      <c r="K133" s="74">
        <f t="shared" si="20"/>
        <v>0.92130248086439193</v>
      </c>
      <c r="L133" s="77"/>
      <c r="M133" s="77"/>
      <c r="N133" s="77"/>
      <c r="O133" s="77"/>
      <c r="P133" s="73"/>
      <c r="Q133" s="73"/>
      <c r="R133" s="79"/>
      <c r="S133" s="80"/>
      <c r="T133" s="79"/>
      <c r="U133" s="79"/>
      <c r="V133" s="79"/>
      <c r="W133" s="79"/>
      <c r="X133" s="71"/>
      <c r="Y133" s="80"/>
      <c r="Z133" s="79"/>
      <c r="AA133" s="79"/>
      <c r="AB133" s="73"/>
      <c r="AC133" s="79"/>
      <c r="AD133" s="71"/>
      <c r="AE133" s="80"/>
      <c r="AF133" s="79"/>
      <c r="AG133" s="79"/>
      <c r="AH133" s="79"/>
      <c r="AI133" s="79"/>
      <c r="AJ133" s="71"/>
      <c r="AK133" s="72"/>
      <c r="AL133" s="73"/>
      <c r="AM133" s="74"/>
      <c r="AN133" s="75">
        <v>0.5</v>
      </c>
    </row>
    <row r="134" spans="1:40" ht="15.6" x14ac:dyDescent="0.3">
      <c r="A134" s="29">
        <v>1908</v>
      </c>
      <c r="B134" s="76">
        <v>41.205522999999999</v>
      </c>
      <c r="C134" s="82">
        <f t="shared" si="21"/>
        <v>28.385627385045588</v>
      </c>
      <c r="D134" s="73">
        <v>0.68887919187545776</v>
      </c>
      <c r="E134" s="73">
        <v>0.3354194164276123</v>
      </c>
      <c r="F134" s="73">
        <v>2.8759343549609184E-2</v>
      </c>
      <c r="G134" s="73">
        <v>4.415927454829216E-2</v>
      </c>
      <c r="H134" s="73">
        <v>2.0830169320106506E-2</v>
      </c>
      <c r="I134" s="82">
        <f t="shared" si="23"/>
        <v>11.865059417693178</v>
      </c>
      <c r="J134" s="73">
        <f t="shared" si="19"/>
        <v>0.4483812536953995</v>
      </c>
      <c r="K134" s="74">
        <f t="shared" si="20"/>
        <v>0.92087846013068142</v>
      </c>
      <c r="L134" s="77"/>
      <c r="M134" s="77"/>
      <c r="N134" s="77"/>
      <c r="O134" s="77"/>
      <c r="P134" s="73"/>
      <c r="Q134" s="73"/>
      <c r="R134" s="79"/>
      <c r="S134" s="80"/>
      <c r="T134" s="79"/>
      <c r="U134" s="79"/>
      <c r="V134" s="79"/>
      <c r="W134" s="79"/>
      <c r="X134" s="71"/>
      <c r="Y134" s="80"/>
      <c r="Z134" s="79"/>
      <c r="AA134" s="79"/>
      <c r="AB134" s="73"/>
      <c r="AC134" s="79"/>
      <c r="AD134" s="71"/>
      <c r="AE134" s="80"/>
      <c r="AF134" s="79"/>
      <c r="AG134" s="79"/>
      <c r="AH134" s="79"/>
      <c r="AI134" s="79"/>
      <c r="AJ134" s="71"/>
      <c r="AK134" s="72"/>
      <c r="AL134" s="73"/>
      <c r="AM134" s="74"/>
      <c r="AN134" s="75">
        <v>0.5</v>
      </c>
    </row>
    <row r="135" spans="1:40" ht="15.6" x14ac:dyDescent="0.3">
      <c r="A135" s="29">
        <v>1909</v>
      </c>
      <c r="B135" s="76">
        <v>41.278958000000003</v>
      </c>
      <c r="C135" s="82">
        <f t="shared" si="21"/>
        <v>28.458334382979277</v>
      </c>
      <c r="D135" s="73">
        <v>0.68941503763198853</v>
      </c>
      <c r="E135" s="73">
        <v>0.33551302552223206</v>
      </c>
      <c r="F135" s="73">
        <v>2.9296383261680603E-2</v>
      </c>
      <c r="G135" s="73">
        <v>4.4146925210952759E-2</v>
      </c>
      <c r="H135" s="73">
        <v>2.0853554829955101E-2</v>
      </c>
      <c r="I135" s="82">
        <f t="shared" si="23"/>
        <v>11.885517886373261</v>
      </c>
      <c r="J135" s="73">
        <f t="shared" si="19"/>
        <v>0.44795217222627903</v>
      </c>
      <c r="K135" s="74">
        <f t="shared" si="20"/>
        <v>0.92045595902579214</v>
      </c>
      <c r="L135" s="77"/>
      <c r="M135" s="77"/>
      <c r="N135" s="77"/>
      <c r="O135" s="77"/>
      <c r="P135" s="73"/>
      <c r="Q135" s="73"/>
      <c r="R135" s="79"/>
      <c r="S135" s="80"/>
      <c r="T135" s="79"/>
      <c r="U135" s="79"/>
      <c r="V135" s="79"/>
      <c r="W135" s="79"/>
      <c r="X135" s="71"/>
      <c r="Y135" s="80"/>
      <c r="Z135" s="79"/>
      <c r="AA135" s="79"/>
      <c r="AB135" s="73"/>
      <c r="AC135" s="79"/>
      <c r="AD135" s="71"/>
      <c r="AE135" s="80"/>
      <c r="AF135" s="79"/>
      <c r="AG135" s="79"/>
      <c r="AH135" s="79"/>
      <c r="AI135" s="79"/>
      <c r="AJ135" s="71"/>
      <c r="AK135" s="72"/>
      <c r="AL135" s="73"/>
      <c r="AM135" s="74"/>
      <c r="AN135" s="75">
        <v>0.5</v>
      </c>
    </row>
    <row r="136" spans="1:40" ht="15.6" x14ac:dyDescent="0.3">
      <c r="A136" s="29">
        <v>1910</v>
      </c>
      <c r="B136" s="76">
        <v>41.352207999999997</v>
      </c>
      <c r="C136" s="82">
        <f t="shared" si="21"/>
        <v>28.530901242670058</v>
      </c>
      <c r="D136" s="73">
        <v>0.6899486780166626</v>
      </c>
      <c r="E136" s="73">
        <v>0.33560612797737122</v>
      </c>
      <c r="F136" s="73">
        <v>2.9831573367118835E-2</v>
      </c>
      <c r="G136" s="73">
        <v>4.4133678078651428E-2</v>
      </c>
      <c r="H136" s="73">
        <v>2.0876806229352951E-2</v>
      </c>
      <c r="I136" s="82">
        <f t="shared" si="23"/>
        <v>11.905917832180144</v>
      </c>
      <c r="J136" s="73">
        <f t="shared" si="19"/>
        <v>0.44752503056330378</v>
      </c>
      <c r="K136" s="74">
        <f t="shared" si="20"/>
        <v>0.92003475942887791</v>
      </c>
      <c r="L136" s="82">
        <f>B$305/1000000</f>
        <v>11.343761000000001</v>
      </c>
      <c r="M136" s="82">
        <f>D$305/1000000</f>
        <v>8.762003</v>
      </c>
      <c r="N136" s="77"/>
      <c r="O136" s="73">
        <f>L136/I136</f>
        <v>0.95278341072867923</v>
      </c>
      <c r="P136" s="83">
        <f>M136/L136</f>
        <v>0.77240722896048319</v>
      </c>
      <c r="Q136" s="83">
        <f>P136*O136</f>
        <v>0.73593679408045698</v>
      </c>
      <c r="R136" s="79"/>
      <c r="S136" s="80"/>
      <c r="T136" s="79"/>
      <c r="U136" s="79"/>
      <c r="V136" s="79"/>
      <c r="W136" s="79"/>
      <c r="X136" s="71"/>
      <c r="Y136" s="80"/>
      <c r="Z136" s="79"/>
      <c r="AA136" s="79"/>
      <c r="AB136" s="73"/>
      <c r="AC136" s="79"/>
      <c r="AD136" s="71"/>
      <c r="AE136" s="80"/>
      <c r="AF136" s="79"/>
      <c r="AG136" s="79"/>
      <c r="AH136" s="79"/>
      <c r="AI136" s="79"/>
      <c r="AJ136" s="71"/>
      <c r="AK136" s="72"/>
      <c r="AL136" s="73"/>
      <c r="AM136" s="74"/>
      <c r="AN136" s="75">
        <v>0.5</v>
      </c>
    </row>
    <row r="137" spans="1:40" ht="15.6" x14ac:dyDescent="0.3">
      <c r="A137" s="29">
        <v>1911</v>
      </c>
      <c r="B137" s="76">
        <v>41.425606999999999</v>
      </c>
      <c r="C137" s="82">
        <f t="shared" si="21"/>
        <v>28.603567680309176</v>
      </c>
      <c r="D137" s="73">
        <v>0.69048035144805908</v>
      </c>
      <c r="E137" s="73">
        <v>0.33569902181625366</v>
      </c>
      <c r="F137" s="73">
        <v>3.0364817008376122E-2</v>
      </c>
      <c r="G137" s="73">
        <v>4.4121138751506805E-2</v>
      </c>
      <c r="H137" s="73">
        <v>2.0900381729006767E-2</v>
      </c>
      <c r="I137" s="82">
        <f t="shared" si="23"/>
        <v>11.926348340619153</v>
      </c>
      <c r="J137" s="73">
        <f t="shared" si="19"/>
        <v>0.44710012803106974</v>
      </c>
      <c r="K137" s="74">
        <f t="shared" si="20"/>
        <v>0.91961499281442982</v>
      </c>
      <c r="L137" s="77"/>
      <c r="M137" s="77"/>
      <c r="N137" s="77"/>
      <c r="O137" s="77"/>
      <c r="P137" s="73"/>
      <c r="Q137" s="73"/>
      <c r="R137" s="79"/>
      <c r="S137" s="80"/>
      <c r="T137" s="79"/>
      <c r="U137" s="79"/>
      <c r="V137" s="79"/>
      <c r="W137" s="79"/>
      <c r="X137" s="71"/>
      <c r="Y137" s="80"/>
      <c r="Z137" s="79"/>
      <c r="AA137" s="79"/>
      <c r="AB137" s="73"/>
      <c r="AC137" s="79"/>
      <c r="AD137" s="71"/>
      <c r="AE137" s="80"/>
      <c r="AF137" s="79"/>
      <c r="AG137" s="79"/>
      <c r="AH137" s="79"/>
      <c r="AI137" s="79"/>
      <c r="AJ137" s="71"/>
      <c r="AK137" s="72"/>
      <c r="AL137" s="73"/>
      <c r="AM137" s="74"/>
      <c r="AN137" s="75">
        <v>0.5</v>
      </c>
    </row>
    <row r="138" spans="1:40" ht="15.6" x14ac:dyDescent="0.3">
      <c r="A138" s="29">
        <v>1912</v>
      </c>
      <c r="B138" s="76">
        <v>41.204968999999998</v>
      </c>
      <c r="C138" s="82">
        <f t="shared" si="21"/>
        <v>28.604461610991237</v>
      </c>
      <c r="D138" s="73">
        <v>0.6941993236541748</v>
      </c>
      <c r="E138" s="73">
        <v>0.33624711632728577</v>
      </c>
      <c r="F138" s="73">
        <v>3.1178057193756104E-2</v>
      </c>
      <c r="G138" s="73">
        <v>4.4072110205888748E-2</v>
      </c>
      <c r="H138" s="73">
        <v>2.0912963896989822E-2</v>
      </c>
      <c r="I138" s="82">
        <f t="shared" si="23"/>
        <v>11.889431321636115</v>
      </c>
      <c r="J138" s="73">
        <f t="shared" si="19"/>
        <v>0.44534826414239548</v>
      </c>
      <c r="K138" s="74">
        <f t="shared" si="20"/>
        <v>0.91944420857810627</v>
      </c>
      <c r="L138" s="77"/>
      <c r="M138" s="77"/>
      <c r="N138" s="77"/>
      <c r="O138" s="77"/>
      <c r="P138" s="73"/>
      <c r="Q138" s="73"/>
      <c r="R138" s="79"/>
      <c r="S138" s="80"/>
      <c r="T138" s="79"/>
      <c r="U138" s="79"/>
      <c r="V138" s="79"/>
      <c r="W138" s="79"/>
      <c r="X138" s="71"/>
      <c r="Y138" s="80"/>
      <c r="Z138" s="79"/>
      <c r="AA138" s="79"/>
      <c r="AB138" s="73"/>
      <c r="AC138" s="79"/>
      <c r="AD138" s="71"/>
      <c r="AE138" s="80"/>
      <c r="AF138" s="79"/>
      <c r="AG138" s="79"/>
      <c r="AH138" s="79"/>
      <c r="AI138" s="79"/>
      <c r="AJ138" s="71"/>
      <c r="AK138" s="72"/>
      <c r="AL138" s="73"/>
      <c r="AM138" s="74"/>
      <c r="AN138" s="75">
        <v>0.5</v>
      </c>
    </row>
    <row r="139" spans="1:40" ht="15.6" x14ac:dyDescent="0.3">
      <c r="A139" s="29">
        <v>1913</v>
      </c>
      <c r="B139" s="76">
        <v>40.980867000000003</v>
      </c>
      <c r="C139" s="82">
        <f t="shared" si="21"/>
        <v>28.602906565880481</v>
      </c>
      <c r="D139" s="73">
        <v>0.69795757532119751</v>
      </c>
      <c r="E139" s="73">
        <v>0.33680117130279541</v>
      </c>
      <c r="F139" s="73">
        <v>3.1999874860048294E-2</v>
      </c>
      <c r="G139" s="73">
        <v>4.4022813439369202E-2</v>
      </c>
      <c r="H139" s="73">
        <v>2.0925179123878479E-2</v>
      </c>
      <c r="I139" s="82">
        <f t="shared" si="23"/>
        <v>11.85132770970946</v>
      </c>
      <c r="J139" s="73">
        <f t="shared" ref="J139:J170" si="24">K139*E139/D139</f>
        <v>0.44359632784449488</v>
      </c>
      <c r="K139" s="74">
        <f t="shared" ref="K139:K170" si="25">(1-F139)*(1-(3/18)*(1-D139))</f>
        <v>0.9192706076588425</v>
      </c>
      <c r="L139" s="77"/>
      <c r="M139" s="77"/>
      <c r="N139" s="77"/>
      <c r="O139" s="77"/>
      <c r="P139" s="73"/>
      <c r="Q139" s="73"/>
      <c r="R139" s="79"/>
      <c r="S139" s="80"/>
      <c r="T139" s="79"/>
      <c r="U139" s="79"/>
      <c r="V139" s="79"/>
      <c r="W139" s="79"/>
      <c r="X139" s="71"/>
      <c r="Y139" s="80"/>
      <c r="Z139" s="79"/>
      <c r="AA139" s="79"/>
      <c r="AB139" s="73"/>
      <c r="AC139" s="79"/>
      <c r="AD139" s="71"/>
      <c r="AE139" s="80"/>
      <c r="AF139" s="79"/>
      <c r="AG139" s="79"/>
      <c r="AH139" s="79"/>
      <c r="AI139" s="79"/>
      <c r="AJ139" s="71"/>
      <c r="AK139" s="72"/>
      <c r="AL139" s="73"/>
      <c r="AM139" s="74"/>
      <c r="AN139" s="75">
        <v>0.5</v>
      </c>
    </row>
    <row r="140" spans="1:40" ht="15.6" x14ac:dyDescent="0.3">
      <c r="A140" s="29">
        <v>1914</v>
      </c>
      <c r="B140" s="76">
        <v>40.760151999999998</v>
      </c>
      <c r="C140" s="82">
        <f t="shared" si="21"/>
        <v>28.603647235136986</v>
      </c>
      <c r="D140" s="73">
        <v>0.70175516605377197</v>
      </c>
      <c r="E140" s="73">
        <v>0.3373609185218811</v>
      </c>
      <c r="F140" s="73">
        <v>3.2830789685249329E-2</v>
      </c>
      <c r="G140" s="73">
        <v>4.3972235172986984E-2</v>
      </c>
      <c r="H140" s="73">
        <v>2.0937949419021606E-2</v>
      </c>
      <c r="I140" s="82">
        <f t="shared" si="23"/>
        <v>11.814008462640148</v>
      </c>
      <c r="J140" s="73">
        <f t="shared" si="24"/>
        <v>0.4418439662702936</v>
      </c>
      <c r="K140" s="74">
        <f t="shared" si="25"/>
        <v>0.91909367356004612</v>
      </c>
      <c r="L140" s="82">
        <f>B300/1000000</f>
        <v>11.185078000000001</v>
      </c>
      <c r="M140" s="82">
        <f>D300/1000000</f>
        <v>8.5863549999999993</v>
      </c>
      <c r="N140" s="77"/>
      <c r="O140" s="73">
        <f>L140/I140</f>
        <v>0.94676400777695091</v>
      </c>
      <c r="P140" s="83">
        <f>M140/L140</f>
        <v>0.76766161130034127</v>
      </c>
      <c r="Q140" s="83">
        <f>P140*O140</f>
        <v>0.72679438373122296</v>
      </c>
      <c r="R140" s="79"/>
      <c r="S140" s="80"/>
      <c r="T140" s="79"/>
      <c r="U140" s="79"/>
      <c r="V140" s="79"/>
      <c r="W140" s="79"/>
      <c r="X140" s="71"/>
      <c r="Y140" s="80"/>
      <c r="Z140" s="79"/>
      <c r="AA140" s="79"/>
      <c r="AB140" s="73"/>
      <c r="AC140" s="79"/>
      <c r="AD140" s="71"/>
      <c r="AE140" s="80"/>
      <c r="AF140" s="79"/>
      <c r="AG140" s="79"/>
      <c r="AH140" s="79"/>
      <c r="AI140" s="79"/>
      <c r="AJ140" s="71"/>
      <c r="AK140" s="72"/>
      <c r="AL140" s="73"/>
      <c r="AM140" s="74"/>
      <c r="AN140" s="75">
        <v>0.5</v>
      </c>
    </row>
    <row r="141" spans="1:40" ht="15.6" x14ac:dyDescent="0.3">
      <c r="A141" s="29">
        <v>1915</v>
      </c>
      <c r="B141" s="76">
        <v>40.536197999999999</v>
      </c>
      <c r="C141" s="82">
        <f t="shared" si="21"/>
        <v>28.602064395309807</v>
      </c>
      <c r="D141" s="73">
        <v>0.70559316873550415</v>
      </c>
      <c r="E141" s="73">
        <v>0.33792677521705627</v>
      </c>
      <c r="F141" s="73">
        <v>3.3670779317617416E-2</v>
      </c>
      <c r="G141" s="73">
        <v>4.3922152370214462E-2</v>
      </c>
      <c r="H141" s="73">
        <v>2.0950855687260628E-2</v>
      </c>
      <c r="I141" s="82">
        <f t="shared" si="23"/>
        <v>11.775547967503423</v>
      </c>
      <c r="J141" s="73">
        <f t="shared" si="24"/>
        <v>0.4400914182018611</v>
      </c>
      <c r="K141" s="74">
        <f t="shared" si="25"/>
        <v>0.91891356671248425</v>
      </c>
      <c r="L141" s="77"/>
      <c r="M141" s="77"/>
      <c r="N141" s="77"/>
      <c r="O141" s="77"/>
      <c r="P141" s="73"/>
      <c r="Q141" s="73"/>
      <c r="R141" s="79"/>
      <c r="S141" s="80"/>
      <c r="T141" s="79"/>
      <c r="U141" s="79"/>
      <c r="V141" s="79"/>
      <c r="W141" s="79"/>
      <c r="X141" s="71"/>
      <c r="Y141" s="80"/>
      <c r="Z141" s="79"/>
      <c r="AA141" s="79"/>
      <c r="AB141" s="73"/>
      <c r="AC141" s="79"/>
      <c r="AD141" s="71"/>
      <c r="AE141" s="80"/>
      <c r="AF141" s="79"/>
      <c r="AG141" s="79"/>
      <c r="AH141" s="79"/>
      <c r="AI141" s="79"/>
      <c r="AJ141" s="71"/>
      <c r="AK141" s="72"/>
      <c r="AL141" s="73"/>
      <c r="AM141" s="74"/>
      <c r="AN141" s="75">
        <v>0.5</v>
      </c>
    </row>
    <row r="142" spans="1:40" ht="15.6" x14ac:dyDescent="0.3">
      <c r="A142" s="29">
        <v>1916</v>
      </c>
      <c r="B142" s="76">
        <v>40.322344000000001</v>
      </c>
      <c r="C142" s="82">
        <f t="shared" si="21"/>
        <v>28.607528401936531</v>
      </c>
      <c r="D142" s="73">
        <v>0.70947086811065674</v>
      </c>
      <c r="E142" s="73">
        <v>0.33849793672561646</v>
      </c>
      <c r="F142" s="73">
        <v>3.4520544111728668E-2</v>
      </c>
      <c r="G142" s="73">
        <v>4.3871257454156876E-2</v>
      </c>
      <c r="H142" s="73">
        <v>2.0964257419109344E-2</v>
      </c>
      <c r="I142" s="82">
        <f t="shared" si="23"/>
        <v>11.73979517156222</v>
      </c>
      <c r="J142" s="73">
        <f t="shared" si="24"/>
        <v>0.43833798452607264</v>
      </c>
      <c r="K142" s="74">
        <f t="shared" si="25"/>
        <v>0.91872947119223547</v>
      </c>
      <c r="L142" s="77"/>
      <c r="M142" s="77"/>
      <c r="N142" s="77"/>
      <c r="O142" s="77"/>
      <c r="P142" s="73"/>
      <c r="Q142" s="73"/>
      <c r="R142" s="79"/>
      <c r="S142" s="80"/>
      <c r="T142" s="79"/>
      <c r="U142" s="79"/>
      <c r="V142" s="79"/>
      <c r="W142" s="79"/>
      <c r="X142" s="71"/>
      <c r="Y142" s="80"/>
      <c r="Z142" s="79"/>
      <c r="AA142" s="79"/>
      <c r="AB142" s="73"/>
      <c r="AC142" s="79"/>
      <c r="AD142" s="71"/>
      <c r="AE142" s="80"/>
      <c r="AF142" s="79"/>
      <c r="AG142" s="79"/>
      <c r="AH142" s="79"/>
      <c r="AI142" s="79"/>
      <c r="AJ142" s="71"/>
      <c r="AK142" s="72"/>
      <c r="AL142" s="73"/>
      <c r="AM142" s="74"/>
      <c r="AN142" s="75">
        <v>0.5</v>
      </c>
    </row>
    <row r="143" spans="1:40" ht="15.6" x14ac:dyDescent="0.3">
      <c r="A143" s="29">
        <v>1917</v>
      </c>
      <c r="B143" s="76">
        <v>40.091233000000003</v>
      </c>
      <c r="C143" s="82">
        <f t="shared" si="21"/>
        <v>28.600777613086763</v>
      </c>
      <c r="D143" s="73">
        <v>0.71339231729507446</v>
      </c>
      <c r="E143" s="73">
        <v>0.33907648921012878</v>
      </c>
      <c r="F143" s="73">
        <v>3.5378593951463699E-2</v>
      </c>
      <c r="G143" s="73">
        <v>4.3819330632686615E-2</v>
      </c>
      <c r="H143" s="73">
        <v>2.0977353677153587E-2</v>
      </c>
      <c r="I143" s="82">
        <f t="shared" si="23"/>
        <v>11.698892003012874</v>
      </c>
      <c r="J143" s="73">
        <f t="shared" si="24"/>
        <v>0.43658513146067562</v>
      </c>
      <c r="K143" s="74">
        <f t="shared" si="25"/>
        <v>0.91854342173601333</v>
      </c>
      <c r="L143" s="77"/>
      <c r="M143" s="77"/>
      <c r="N143" s="77"/>
      <c r="O143" s="77"/>
      <c r="P143" s="73"/>
      <c r="Q143" s="73"/>
      <c r="R143" s="79"/>
      <c r="S143" s="80"/>
      <c r="T143" s="79"/>
      <c r="U143" s="79"/>
      <c r="V143" s="79"/>
      <c r="W143" s="79"/>
      <c r="X143" s="71"/>
      <c r="Y143" s="80"/>
      <c r="Z143" s="79"/>
      <c r="AA143" s="79"/>
      <c r="AB143" s="73"/>
      <c r="AC143" s="79"/>
      <c r="AD143" s="71"/>
      <c r="AE143" s="80"/>
      <c r="AF143" s="79"/>
      <c r="AG143" s="79"/>
      <c r="AH143" s="79"/>
      <c r="AI143" s="79"/>
      <c r="AJ143" s="71"/>
      <c r="AK143" s="72"/>
      <c r="AL143" s="73"/>
      <c r="AM143" s="74"/>
      <c r="AN143" s="75">
        <v>0.5</v>
      </c>
    </row>
    <row r="144" spans="1:40" ht="15.6" x14ac:dyDescent="0.3">
      <c r="A144" s="29">
        <v>1918</v>
      </c>
      <c r="B144" s="76">
        <v>39.870745999999997</v>
      </c>
      <c r="C144" s="82">
        <f t="shared" si="21"/>
        <v>28.601460499057289</v>
      </c>
      <c r="D144" s="73">
        <v>0.71735453605651855</v>
      </c>
      <c r="E144" s="73">
        <v>0.33966055512428284</v>
      </c>
      <c r="F144" s="73">
        <v>3.6247134208679199E-2</v>
      </c>
      <c r="G144" s="73">
        <v>4.3767377734184265E-2</v>
      </c>
      <c r="H144" s="73">
        <v>2.0990528166294098E-2</v>
      </c>
      <c r="I144" s="82">
        <f>(1-G144)*(1-F144)*(1-(1+3/18)*(1-D144))*B144*(E144/D144)</f>
        <v>11.660836823263191</v>
      </c>
      <c r="J144" s="73">
        <f t="shared" si="24"/>
        <v>0.4348313243140437</v>
      </c>
      <c r="K144" s="74">
        <f t="shared" si="25"/>
        <v>0.91835280314491285</v>
      </c>
      <c r="L144" s="77"/>
      <c r="M144" s="77"/>
      <c r="N144" s="77"/>
      <c r="O144" s="77"/>
      <c r="P144" s="73"/>
      <c r="Q144" s="73"/>
      <c r="R144" s="79"/>
      <c r="S144" s="80"/>
      <c r="T144" s="79"/>
      <c r="U144" s="79"/>
      <c r="V144" s="79"/>
      <c r="W144" s="79"/>
      <c r="X144" s="71"/>
      <c r="Y144" s="80"/>
      <c r="Z144" s="79"/>
      <c r="AA144" s="79"/>
      <c r="AB144" s="73"/>
      <c r="AC144" s="79"/>
      <c r="AD144" s="71"/>
      <c r="AE144" s="80"/>
      <c r="AF144" s="79"/>
      <c r="AG144" s="79"/>
      <c r="AH144" s="79"/>
      <c r="AI144" s="79"/>
      <c r="AJ144" s="71"/>
      <c r="AK144" s="72"/>
      <c r="AL144" s="73"/>
      <c r="AM144" s="74"/>
      <c r="AN144" s="75">
        <v>0.5</v>
      </c>
    </row>
    <row r="145" spans="1:40" ht="15.6" x14ac:dyDescent="0.3">
      <c r="A145" s="29">
        <v>1919</v>
      </c>
      <c r="B145" s="76">
        <v>39.646563999999998</v>
      </c>
      <c r="C145" s="82">
        <f t="shared" ref="C145:C208" si="26">D145*B145</f>
        <v>28.599446508820769</v>
      </c>
      <c r="D145" s="73">
        <v>0.72136002779006958</v>
      </c>
      <c r="E145" s="73">
        <v>0.34025105834007263</v>
      </c>
      <c r="F145" s="73">
        <v>3.7124890834093094E-2</v>
      </c>
      <c r="G145" s="73">
        <v>4.3714128434658051E-2</v>
      </c>
      <c r="H145" s="73">
        <v>2.1004190668463707E-2</v>
      </c>
      <c r="I145" s="82">
        <f t="shared" ref="I145:I169" si="27">(1-F145)*(1-(1+3/18)*(1-D145))*B145*(E145/D145)</f>
        <v>12.152769057733503</v>
      </c>
      <c r="J145" s="73">
        <f t="shared" si="24"/>
        <v>0.43307727805372997</v>
      </c>
      <c r="K145" s="74">
        <f t="shared" si="25"/>
        <v>0.91815919355596987</v>
      </c>
      <c r="L145" s="82">
        <f>B295/1000000</f>
        <v>11.435719000000001</v>
      </c>
      <c r="M145" s="82">
        <f>D295/1000000</f>
        <v>8.1310629999999993</v>
      </c>
      <c r="N145" s="77"/>
      <c r="O145" s="73">
        <f>L145/I145</f>
        <v>0.94099698148405098</v>
      </c>
      <c r="P145" s="83">
        <f>M145/L145</f>
        <v>0.71102332962186277</v>
      </c>
      <c r="Q145" s="83">
        <f>P145*O145</f>
        <v>0.6690708069389123</v>
      </c>
      <c r="R145" s="79"/>
      <c r="S145" s="80"/>
      <c r="T145" s="79"/>
      <c r="U145" s="79"/>
      <c r="V145" s="79"/>
      <c r="W145" s="79"/>
      <c r="X145" s="71"/>
      <c r="Y145" s="80"/>
      <c r="Z145" s="79"/>
      <c r="AA145" s="79"/>
      <c r="AB145" s="73"/>
      <c r="AC145" s="79"/>
      <c r="AD145" s="71"/>
      <c r="AE145" s="80"/>
      <c r="AF145" s="79"/>
      <c r="AG145" s="79"/>
      <c r="AH145" s="79"/>
      <c r="AI145" s="79"/>
      <c r="AJ145" s="71"/>
      <c r="AK145" s="72"/>
      <c r="AL145" s="73"/>
      <c r="AM145" s="74"/>
      <c r="AN145" s="75">
        <v>0.5</v>
      </c>
    </row>
    <row r="146" spans="1:40" ht="15.6" x14ac:dyDescent="0.3">
      <c r="A146" s="29">
        <v>1920</v>
      </c>
      <c r="B146" s="76">
        <v>39.425928999999996</v>
      </c>
      <c r="C146" s="82">
        <f t="shared" si="26"/>
        <v>28.599910848975298</v>
      </c>
      <c r="D146" s="73">
        <v>0.72540867328643799</v>
      </c>
      <c r="E146" s="73">
        <v>0.34084779024124146</v>
      </c>
      <c r="F146" s="73">
        <v>3.801298514008522E-2</v>
      </c>
      <c r="G146" s="73">
        <v>4.3660681694746017E-2</v>
      </c>
      <c r="H146" s="73">
        <v>2.1017234772443771E-2</v>
      </c>
      <c r="I146" s="82">
        <f t="shared" si="27"/>
        <v>12.111837108383087</v>
      </c>
      <c r="J146" s="73">
        <f t="shared" si="24"/>
        <v>0.43132257563917892</v>
      </c>
      <c r="K146" s="74">
        <f t="shared" si="25"/>
        <v>0.91796146641131426</v>
      </c>
      <c r="L146" s="77"/>
      <c r="M146" s="77"/>
      <c r="N146" s="77"/>
      <c r="O146" s="77"/>
      <c r="P146" s="73"/>
      <c r="Q146" s="73"/>
      <c r="R146" s="79"/>
      <c r="S146" s="80"/>
      <c r="T146" s="79"/>
      <c r="U146" s="79"/>
      <c r="V146" s="79"/>
      <c r="W146" s="79"/>
      <c r="X146" s="71"/>
      <c r="Y146" s="80"/>
      <c r="Z146" s="79"/>
      <c r="AA146" s="79"/>
      <c r="AB146" s="73"/>
      <c r="AC146" s="79"/>
      <c r="AD146" s="71"/>
      <c r="AE146" s="80"/>
      <c r="AF146" s="79"/>
      <c r="AG146" s="79"/>
      <c r="AH146" s="79"/>
      <c r="AI146" s="79"/>
      <c r="AJ146" s="71"/>
      <c r="AK146" s="72"/>
      <c r="AL146" s="73"/>
      <c r="AM146" s="74"/>
      <c r="AN146" s="75">
        <v>0.5</v>
      </c>
    </row>
    <row r="147" spans="1:40" ht="15.6" x14ac:dyDescent="0.3">
      <c r="A147" s="29">
        <v>1921</v>
      </c>
      <c r="B147" s="76">
        <v>39.201824000000002</v>
      </c>
      <c r="C147" s="82">
        <f t="shared" si="26"/>
        <v>28.597805211309435</v>
      </c>
      <c r="D147" s="73">
        <v>0.72950190305709839</v>
      </c>
      <c r="E147" s="73">
        <v>0.34145119786262512</v>
      </c>
      <c r="F147" s="73">
        <v>3.8910843431949615E-2</v>
      </c>
      <c r="G147" s="73">
        <v>4.3606720864772797E-2</v>
      </c>
      <c r="H147" s="73">
        <v>2.1031292155385017E-2</v>
      </c>
      <c r="I147" s="82">
        <f t="shared" si="27"/>
        <v>12.069635340890008</v>
      </c>
      <c r="J147" s="73">
        <f t="shared" si="24"/>
        <v>0.42956758917219257</v>
      </c>
      <c r="K147" s="74">
        <f t="shared" si="25"/>
        <v>0.91776035859403104</v>
      </c>
      <c r="L147" s="77"/>
      <c r="M147" s="77"/>
      <c r="N147" s="77"/>
      <c r="O147" s="77"/>
      <c r="P147" s="73"/>
      <c r="Q147" s="73"/>
      <c r="R147" s="79"/>
      <c r="S147" s="80"/>
      <c r="T147" s="79"/>
      <c r="U147" s="79"/>
      <c r="V147" s="79"/>
      <c r="W147" s="79"/>
      <c r="X147" s="71"/>
      <c r="Y147" s="80"/>
      <c r="Z147" s="79"/>
      <c r="AA147" s="79"/>
      <c r="AB147" s="73"/>
      <c r="AC147" s="79"/>
      <c r="AD147" s="71"/>
      <c r="AE147" s="80"/>
      <c r="AF147" s="79"/>
      <c r="AG147" s="79"/>
      <c r="AH147" s="79"/>
      <c r="AI147" s="79"/>
      <c r="AJ147" s="71"/>
      <c r="AK147" s="72"/>
      <c r="AL147" s="73"/>
      <c r="AM147" s="74"/>
      <c r="AN147" s="75">
        <v>0.5</v>
      </c>
    </row>
    <row r="148" spans="1:40" ht="15.6" x14ac:dyDescent="0.3">
      <c r="A148" s="29">
        <v>1922</v>
      </c>
      <c r="B148" s="76">
        <v>39.508592</v>
      </c>
      <c r="C148" s="82">
        <f t="shared" si="26"/>
        <v>28.819560776210785</v>
      </c>
      <c r="D148" s="73">
        <v>0.72945046424865723</v>
      </c>
      <c r="E148" s="73">
        <v>0.34193682670593262</v>
      </c>
      <c r="F148" s="73">
        <v>4.3054118752479553E-2</v>
      </c>
      <c r="G148" s="73">
        <v>4.3701454997062683E-2</v>
      </c>
      <c r="H148" s="73">
        <v>2.1334245800971985E-2</v>
      </c>
      <c r="I148" s="82">
        <f t="shared" si="27"/>
        <v>12.128662348077809</v>
      </c>
      <c r="J148" s="73">
        <f t="shared" si="24"/>
        <v>0.4283503913908196</v>
      </c>
      <c r="K148" s="74">
        <f t="shared" si="25"/>
        <v>0.91379567059574107</v>
      </c>
      <c r="L148" s="77"/>
      <c r="M148" s="77"/>
      <c r="N148" s="77"/>
      <c r="O148" s="77"/>
      <c r="P148" s="73"/>
      <c r="Q148" s="73"/>
      <c r="R148" s="79"/>
      <c r="S148" s="80"/>
      <c r="T148" s="79"/>
      <c r="U148" s="79"/>
      <c r="V148" s="79"/>
      <c r="W148" s="79"/>
      <c r="X148" s="71"/>
      <c r="Y148" s="80"/>
      <c r="Z148" s="79"/>
      <c r="AA148" s="79"/>
      <c r="AB148" s="73"/>
      <c r="AC148" s="79"/>
      <c r="AD148" s="71"/>
      <c r="AE148" s="80"/>
      <c r="AF148" s="79"/>
      <c r="AG148" s="79"/>
      <c r="AH148" s="79"/>
      <c r="AI148" s="79"/>
      <c r="AJ148" s="71"/>
      <c r="AK148" s="72"/>
      <c r="AL148" s="73"/>
      <c r="AM148" s="74"/>
      <c r="AN148" s="75">
        <v>0.5</v>
      </c>
    </row>
    <row r="149" spans="1:40" ht="15.6" x14ac:dyDescent="0.3">
      <c r="A149" s="29">
        <v>1923</v>
      </c>
      <c r="B149" s="76">
        <v>39.815089999999998</v>
      </c>
      <c r="C149" s="82">
        <f t="shared" si="26"/>
        <v>29.041135307100415</v>
      </c>
      <c r="D149" s="73">
        <v>0.72940021753311157</v>
      </c>
      <c r="E149" s="73">
        <v>0.34241518378257751</v>
      </c>
      <c r="F149" s="73">
        <v>4.7133710235357285E-2</v>
      </c>
      <c r="G149" s="73">
        <v>4.379495233297348E-2</v>
      </c>
      <c r="H149" s="73">
        <v>2.1633330732584E-2</v>
      </c>
      <c r="I149" s="82">
        <f t="shared" si="27"/>
        <v>12.187468090728258</v>
      </c>
      <c r="J149" s="73">
        <f t="shared" si="24"/>
        <v>0.42714664408325131</v>
      </c>
      <c r="K149" s="74">
        <f t="shared" si="25"/>
        <v>0.90989205464291878</v>
      </c>
      <c r="L149" s="77"/>
      <c r="M149" s="77"/>
      <c r="N149" s="77"/>
      <c r="O149" s="77"/>
      <c r="P149" s="73"/>
      <c r="Q149" s="73"/>
      <c r="R149" s="79"/>
      <c r="S149" s="80"/>
      <c r="T149" s="79"/>
      <c r="U149" s="79"/>
      <c r="V149" s="79"/>
      <c r="W149" s="79"/>
      <c r="X149" s="71"/>
      <c r="Y149" s="80"/>
      <c r="Z149" s="79"/>
      <c r="AA149" s="79"/>
      <c r="AB149" s="73"/>
      <c r="AC149" s="79"/>
      <c r="AD149" s="71"/>
      <c r="AE149" s="80"/>
      <c r="AF149" s="79"/>
      <c r="AG149" s="79"/>
      <c r="AH149" s="79"/>
      <c r="AI149" s="79"/>
      <c r="AJ149" s="71"/>
      <c r="AK149" s="72"/>
      <c r="AL149" s="73"/>
      <c r="AM149" s="74"/>
      <c r="AN149" s="75">
        <v>0.5</v>
      </c>
    </row>
    <row r="150" spans="1:40" ht="15.6" x14ac:dyDescent="0.3">
      <c r="A150" s="29">
        <v>1924</v>
      </c>
      <c r="B150" s="76">
        <v>40.121772999999997</v>
      </c>
      <c r="C150" s="82">
        <f t="shared" si="26"/>
        <v>29.262813966699003</v>
      </c>
      <c r="D150" s="73">
        <v>0.72934997081756592</v>
      </c>
      <c r="E150" s="73">
        <v>0.34288591146469116</v>
      </c>
      <c r="F150" s="73">
        <v>5.1150783896446228E-2</v>
      </c>
      <c r="G150" s="73">
        <v>4.3887965381145477E-2</v>
      </c>
      <c r="H150" s="73">
        <v>2.1927345544099808E-2</v>
      </c>
      <c r="I150" s="82">
        <f t="shared" si="27"/>
        <v>12.246175698890845</v>
      </c>
      <c r="J150" s="73">
        <f t="shared" si="24"/>
        <v>0.42595623082527551</v>
      </c>
      <c r="K150" s="74">
        <f t="shared" si="25"/>
        <v>0.90604820476552761</v>
      </c>
      <c r="L150" s="82">
        <f>B290/1000000</f>
        <v>11.071211999999999</v>
      </c>
      <c r="M150" s="82">
        <f>D290/1000000</f>
        <v>9.1913239999999998</v>
      </c>
      <c r="N150" s="77"/>
      <c r="O150" s="73">
        <f>L150/I150</f>
        <v>0.90405464303461991</v>
      </c>
      <c r="P150" s="83">
        <f>M150/L150</f>
        <v>0.83020034301574208</v>
      </c>
      <c r="Q150" s="83">
        <f>P150*O150</f>
        <v>0.75054647475231573</v>
      </c>
      <c r="R150" s="79"/>
      <c r="S150" s="80"/>
      <c r="T150" s="79"/>
      <c r="U150" s="79"/>
      <c r="V150" s="79"/>
      <c r="W150" s="79"/>
      <c r="X150" s="71"/>
      <c r="Y150" s="80"/>
      <c r="Z150" s="79"/>
      <c r="AA150" s="79"/>
      <c r="AB150" s="73"/>
      <c r="AC150" s="79"/>
      <c r="AD150" s="71"/>
      <c r="AE150" s="80"/>
      <c r="AF150" s="79"/>
      <c r="AG150" s="79"/>
      <c r="AH150" s="79"/>
      <c r="AI150" s="79"/>
      <c r="AJ150" s="71"/>
      <c r="AK150" s="72"/>
      <c r="AL150" s="73"/>
      <c r="AM150" s="74"/>
      <c r="AN150" s="75">
        <v>0.5</v>
      </c>
    </row>
    <row r="151" spans="1:40" ht="15.6" x14ac:dyDescent="0.3">
      <c r="A151" s="29">
        <v>1925</v>
      </c>
      <c r="B151" s="76">
        <v>40.428271000000002</v>
      </c>
      <c r="C151" s="82">
        <f t="shared" si="26"/>
        <v>29.484389538752737</v>
      </c>
      <c r="D151" s="73">
        <v>0.72930127382278442</v>
      </c>
      <c r="E151" s="73">
        <v>0.34334978461265564</v>
      </c>
      <c r="F151" s="73">
        <v>5.5107079446315765E-2</v>
      </c>
      <c r="G151" s="73">
        <v>4.3978631496429443E-2</v>
      </c>
      <c r="H151" s="73">
        <v>2.2217398509383202E-2</v>
      </c>
      <c r="I151" s="82">
        <f t="shared" si="27"/>
        <v>12.304699285341274</v>
      </c>
      <c r="J151" s="73">
        <f t="shared" si="24"/>
        <v>0.42477877880206882</v>
      </c>
      <c r="K151" s="74">
        <f t="shared" si="25"/>
        <v>0.90226270222572569</v>
      </c>
      <c r="L151" s="77"/>
      <c r="M151" s="77"/>
      <c r="N151" s="77"/>
      <c r="O151" s="77"/>
      <c r="P151" s="73"/>
      <c r="Q151" s="73"/>
      <c r="R151" s="79"/>
      <c r="S151" s="80"/>
      <c r="T151" s="79"/>
      <c r="U151" s="79"/>
      <c r="V151" s="79"/>
      <c r="W151" s="79"/>
      <c r="X151" s="71"/>
      <c r="Y151" s="80"/>
      <c r="Z151" s="79"/>
      <c r="AA151" s="79"/>
      <c r="AB151" s="73"/>
      <c r="AC151" s="79"/>
      <c r="AD151" s="71"/>
      <c r="AE151" s="80"/>
      <c r="AF151" s="79"/>
      <c r="AG151" s="79"/>
      <c r="AH151" s="79"/>
      <c r="AI151" s="79"/>
      <c r="AJ151" s="71"/>
      <c r="AK151" s="72"/>
      <c r="AL151" s="73"/>
      <c r="AM151" s="74"/>
      <c r="AN151" s="75">
        <v>0.5</v>
      </c>
    </row>
    <row r="152" spans="1:40" ht="15.6" x14ac:dyDescent="0.3">
      <c r="A152" s="29">
        <v>1926</v>
      </c>
      <c r="B152" s="76">
        <v>40.735039</v>
      </c>
      <c r="C152" s="82">
        <f t="shared" si="26"/>
        <v>29.706144297926844</v>
      </c>
      <c r="D152" s="73">
        <v>0.72925287485122681</v>
      </c>
      <c r="E152" s="73">
        <v>0.34380650520324707</v>
      </c>
      <c r="F152" s="73">
        <v>5.9003673493862152E-2</v>
      </c>
      <c r="G152" s="73">
        <v>4.4067714363336563E-2</v>
      </c>
      <c r="H152" s="73">
        <v>2.2502297535538673E-2</v>
      </c>
      <c r="I152" s="82">
        <f t="shared" si="27"/>
        <v>12.363162986170261</v>
      </c>
      <c r="J152" s="73">
        <f t="shared" si="24"/>
        <v>0.4236142967404129</v>
      </c>
      <c r="K152" s="74">
        <f t="shared" si="25"/>
        <v>0.89853431814328899</v>
      </c>
      <c r="L152" s="77"/>
      <c r="M152" s="77"/>
      <c r="N152" s="77"/>
      <c r="O152" s="77"/>
      <c r="P152" s="73"/>
      <c r="Q152" s="73"/>
      <c r="R152" s="79"/>
      <c r="S152" s="80"/>
      <c r="T152" s="79"/>
      <c r="U152" s="79"/>
      <c r="V152" s="79"/>
      <c r="W152" s="79"/>
      <c r="X152" s="71"/>
      <c r="Y152" s="80"/>
      <c r="Z152" s="79"/>
      <c r="AA152" s="79"/>
      <c r="AB152" s="73"/>
      <c r="AC152" s="79"/>
      <c r="AD152" s="71"/>
      <c r="AE152" s="80"/>
      <c r="AF152" s="79"/>
      <c r="AG152" s="79"/>
      <c r="AH152" s="79"/>
      <c r="AI152" s="79"/>
      <c r="AJ152" s="71"/>
      <c r="AK152" s="72"/>
      <c r="AL152" s="73"/>
      <c r="AM152" s="74"/>
      <c r="AN152" s="75">
        <v>0.5</v>
      </c>
    </row>
    <row r="153" spans="1:40" ht="15.6" x14ac:dyDescent="0.3">
      <c r="A153" s="29">
        <v>1927</v>
      </c>
      <c r="B153" s="76">
        <v>40.952941000000003</v>
      </c>
      <c r="C153" s="82">
        <f t="shared" si="26"/>
        <v>29.812368608784141</v>
      </c>
      <c r="D153" s="73">
        <v>0.72796648740768433</v>
      </c>
      <c r="E153" s="73">
        <v>0.34369292855262756</v>
      </c>
      <c r="F153" s="73">
        <v>6.0201544314622879E-2</v>
      </c>
      <c r="G153" s="73">
        <v>4.4337328523397446E-2</v>
      </c>
      <c r="H153" s="73">
        <v>2.2718906402587891E-2</v>
      </c>
      <c r="I153" s="82">
        <f t="shared" si="27"/>
        <v>12.404031387191704</v>
      </c>
      <c r="J153" s="73">
        <f t="shared" si="24"/>
        <v>0.42358751892232938</v>
      </c>
      <c r="K153" s="74">
        <f t="shared" si="25"/>
        <v>0.89718900984722261</v>
      </c>
      <c r="L153" s="77"/>
      <c r="M153" s="77"/>
      <c r="N153" s="77"/>
      <c r="O153" s="77"/>
      <c r="P153" s="73"/>
      <c r="Q153" s="73"/>
      <c r="R153" s="79"/>
      <c r="S153" s="80"/>
      <c r="T153" s="79"/>
      <c r="U153" s="79"/>
      <c r="V153" s="79"/>
      <c r="W153" s="79"/>
      <c r="X153" s="71"/>
      <c r="Y153" s="80"/>
      <c r="Z153" s="79"/>
      <c r="AA153" s="79"/>
      <c r="AB153" s="73"/>
      <c r="AC153" s="79"/>
      <c r="AD153" s="71"/>
      <c r="AE153" s="80"/>
      <c r="AF153" s="79"/>
      <c r="AG153" s="79"/>
      <c r="AH153" s="79"/>
      <c r="AI153" s="79"/>
      <c r="AJ153" s="71"/>
      <c r="AK153" s="72"/>
      <c r="AL153" s="73"/>
      <c r="AM153" s="74"/>
      <c r="AN153" s="75">
        <v>0.5</v>
      </c>
    </row>
    <row r="154" spans="1:40" ht="15.6" x14ac:dyDescent="0.3">
      <c r="A154" s="29">
        <v>1928</v>
      </c>
      <c r="B154" s="76">
        <v>41.170864999999999</v>
      </c>
      <c r="C154" s="82">
        <f t="shared" si="26"/>
        <v>29.918607800060808</v>
      </c>
      <c r="D154" s="73">
        <v>0.72669368982315063</v>
      </c>
      <c r="E154" s="73">
        <v>0.34358060359954834</v>
      </c>
      <c r="F154" s="73">
        <v>6.1386872082948685E-2</v>
      </c>
      <c r="G154" s="73">
        <v>4.4604845345020294E-2</v>
      </c>
      <c r="H154" s="73">
        <v>2.29335967451334E-2</v>
      </c>
      <c r="I154" s="82">
        <f t="shared" si="27"/>
        <v>12.444914927151368</v>
      </c>
      <c r="J154" s="73">
        <f t="shared" si="24"/>
        <v>0.4235615970850008</v>
      </c>
      <c r="K154" s="74">
        <f t="shared" si="25"/>
        <v>0.89585831280462458</v>
      </c>
      <c r="L154" s="82">
        <f>B284/1000000</f>
        <v>11.35242</v>
      </c>
      <c r="M154" s="82">
        <f>D284/1000000</f>
        <v>9.5200300000000002</v>
      </c>
      <c r="N154" s="82">
        <f>E284/1000000</f>
        <v>9.3216219999999996</v>
      </c>
      <c r="O154" s="73">
        <f>L154/I154</f>
        <v>0.91221354797951693</v>
      </c>
      <c r="P154" s="83">
        <f>M154/L154</f>
        <v>0.83859036223113659</v>
      </c>
      <c r="Q154" s="83">
        <f>P154*O154</f>
        <v>0.76497348963229339</v>
      </c>
      <c r="R154" s="83">
        <f>(M154-N154)/M154</f>
        <v>2.0841110794818984E-2</v>
      </c>
      <c r="S154" s="80"/>
      <c r="T154" s="79"/>
      <c r="U154" s="79"/>
      <c r="V154" s="79"/>
      <c r="W154" s="79"/>
      <c r="X154" s="71"/>
      <c r="Y154" s="80"/>
      <c r="Z154" s="79"/>
      <c r="AA154" s="79"/>
      <c r="AB154" s="73"/>
      <c r="AC154" s="79"/>
      <c r="AD154" s="71"/>
      <c r="AE154" s="80"/>
      <c r="AF154" s="79"/>
      <c r="AG154" s="79"/>
      <c r="AH154" s="79"/>
      <c r="AI154" s="79"/>
      <c r="AJ154" s="71"/>
      <c r="AK154" s="72"/>
      <c r="AL154" s="73"/>
      <c r="AM154" s="74"/>
      <c r="AN154" s="75">
        <v>0.5</v>
      </c>
    </row>
    <row r="155" spans="1:40" ht="15.6" x14ac:dyDescent="0.3">
      <c r="A155" s="29">
        <v>1929</v>
      </c>
      <c r="B155" s="76">
        <v>41.388800000000003</v>
      </c>
      <c r="C155" s="82">
        <f t="shared" si="26"/>
        <v>30.024850357818607</v>
      </c>
      <c r="D155" s="73">
        <v>0.72543418407440186</v>
      </c>
      <c r="E155" s="73">
        <v>0.34346944093704224</v>
      </c>
      <c r="F155" s="73">
        <v>6.2559351325035095E-2</v>
      </c>
      <c r="G155" s="73">
        <v>4.4868562370538712E-2</v>
      </c>
      <c r="H155" s="73">
        <v>2.3145126178860664E-2</v>
      </c>
      <c r="I155" s="82">
        <f t="shared" si="27"/>
        <v>12.485813907973169</v>
      </c>
      <c r="J155" s="73">
        <f t="shared" si="24"/>
        <v>0.42353669563854418</v>
      </c>
      <c r="K155" s="74">
        <f t="shared" si="25"/>
        <v>0.89454245591075432</v>
      </c>
      <c r="L155" s="77"/>
      <c r="M155" s="77"/>
      <c r="N155" s="77"/>
      <c r="O155" s="77"/>
      <c r="P155" s="83"/>
      <c r="Q155" s="83"/>
      <c r="R155" s="87"/>
      <c r="S155" s="80"/>
      <c r="T155" s="79"/>
      <c r="U155" s="79"/>
      <c r="V155" s="79"/>
      <c r="W155" s="79"/>
      <c r="X155" s="71"/>
      <c r="Y155" s="80"/>
      <c r="Z155" s="79"/>
      <c r="AA155" s="79"/>
      <c r="AB155" s="73"/>
      <c r="AC155" s="79"/>
      <c r="AD155" s="71"/>
      <c r="AE155" s="80"/>
      <c r="AF155" s="79"/>
      <c r="AG155" s="79"/>
      <c r="AH155" s="79"/>
      <c r="AI155" s="79"/>
      <c r="AJ155" s="71"/>
      <c r="AK155" s="72"/>
      <c r="AL155" s="73"/>
      <c r="AM155" s="74"/>
      <c r="AN155" s="75">
        <v>0.5</v>
      </c>
    </row>
    <row r="156" spans="1:40" ht="15.6" x14ac:dyDescent="0.3">
      <c r="A156" s="29">
        <v>1930</v>
      </c>
      <c r="B156" s="76">
        <v>41.606724</v>
      </c>
      <c r="C156" s="82">
        <f t="shared" si="26"/>
        <v>30.13109147858119</v>
      </c>
      <c r="D156" s="73">
        <v>0.72418802976608276</v>
      </c>
      <c r="E156" s="73">
        <v>0.34335947036743164</v>
      </c>
      <c r="F156" s="73">
        <v>6.3719913363456726E-2</v>
      </c>
      <c r="G156" s="73">
        <v>4.5130494982004166E-2</v>
      </c>
      <c r="H156" s="73">
        <v>2.3355334997177124E-2</v>
      </c>
      <c r="I156" s="82">
        <f t="shared" si="27"/>
        <v>12.526714657515969</v>
      </c>
      <c r="J156" s="73">
        <f t="shared" si="24"/>
        <v>0.42351238561954263</v>
      </c>
      <c r="K156" s="74">
        <f t="shared" si="25"/>
        <v>0.89324054407220865</v>
      </c>
      <c r="L156" s="77"/>
      <c r="M156" s="77"/>
      <c r="N156" s="77"/>
      <c r="O156" s="77"/>
      <c r="P156" s="83"/>
      <c r="Q156" s="83"/>
      <c r="R156" s="87"/>
      <c r="S156" s="80"/>
      <c r="T156" s="79"/>
      <c r="U156" s="79"/>
      <c r="V156" s="79"/>
      <c r="W156" s="79"/>
      <c r="X156" s="71"/>
      <c r="Y156" s="80"/>
      <c r="Z156" s="79"/>
      <c r="AA156" s="79"/>
      <c r="AB156" s="73"/>
      <c r="AC156" s="79"/>
      <c r="AD156" s="71"/>
      <c r="AE156" s="80"/>
      <c r="AF156" s="79"/>
      <c r="AG156" s="79"/>
      <c r="AH156" s="79"/>
      <c r="AI156" s="79"/>
      <c r="AJ156" s="71"/>
      <c r="AK156" s="72"/>
      <c r="AL156" s="73"/>
      <c r="AM156" s="74"/>
      <c r="AN156" s="75">
        <v>0.5</v>
      </c>
    </row>
    <row r="157" spans="1:40" ht="15.6" x14ac:dyDescent="0.3">
      <c r="A157" s="29">
        <v>1931</v>
      </c>
      <c r="B157" s="76">
        <v>41.824626000000002</v>
      </c>
      <c r="C157" s="82">
        <f t="shared" si="26"/>
        <v>30.237314529168248</v>
      </c>
      <c r="D157" s="73">
        <v>0.72295480966567993</v>
      </c>
      <c r="E157" s="73">
        <v>0.343250572681427</v>
      </c>
      <c r="F157" s="73">
        <v>6.4868241548538208E-2</v>
      </c>
      <c r="G157" s="73">
        <v>4.5388951897621155E-2</v>
      </c>
      <c r="H157" s="73">
        <v>2.356298454105854E-2</v>
      </c>
      <c r="I157" s="82">
        <f t="shared" si="27"/>
        <v>12.567615932778084</v>
      </c>
      <c r="J157" s="73">
        <f t="shared" si="24"/>
        <v>0.4234888612792147</v>
      </c>
      <c r="K157" s="74">
        <f t="shared" si="25"/>
        <v>0.89195279911681968</v>
      </c>
      <c r="L157" s="77"/>
      <c r="M157" s="77"/>
      <c r="N157" s="77"/>
      <c r="O157" s="77"/>
      <c r="P157" s="83"/>
      <c r="Q157" s="83"/>
      <c r="R157" s="87"/>
      <c r="S157" s="80"/>
      <c r="T157" s="79"/>
      <c r="U157" s="79"/>
      <c r="V157" s="79"/>
      <c r="W157" s="79"/>
      <c r="X157" s="71"/>
      <c r="Y157" s="80"/>
      <c r="Z157" s="79"/>
      <c r="AA157" s="79"/>
      <c r="AB157" s="73"/>
      <c r="AC157" s="79"/>
      <c r="AD157" s="71"/>
      <c r="AE157" s="80"/>
      <c r="AF157" s="79"/>
      <c r="AG157" s="79"/>
      <c r="AH157" s="79"/>
      <c r="AI157" s="79"/>
      <c r="AJ157" s="71"/>
      <c r="AK157" s="72"/>
      <c r="AL157" s="73"/>
      <c r="AM157" s="74"/>
      <c r="AN157" s="75">
        <v>0.5</v>
      </c>
    </row>
    <row r="158" spans="1:40" ht="15.6" x14ac:dyDescent="0.3">
      <c r="A158" s="29">
        <v>1932</v>
      </c>
      <c r="B158" s="76">
        <v>41.839235000000002</v>
      </c>
      <c r="C158" s="82">
        <f t="shared" si="26"/>
        <v>30.074982632541658</v>
      </c>
      <c r="D158" s="73">
        <v>0.71882247924804688</v>
      </c>
      <c r="E158" s="73">
        <v>0.34089770913124084</v>
      </c>
      <c r="F158" s="73">
        <v>6.2359731644392014E-2</v>
      </c>
      <c r="G158" s="73">
        <v>4.5455563813447952E-2</v>
      </c>
      <c r="H158" s="73">
        <v>2.3705931380391121E-2</v>
      </c>
      <c r="I158" s="82">
        <f t="shared" si="27"/>
        <v>12.501598724546744</v>
      </c>
      <c r="J158" s="73">
        <f t="shared" si="24"/>
        <v>0.42383229751902912</v>
      </c>
      <c r="K158" s="74">
        <f t="shared" si="25"/>
        <v>0.89369970735337034</v>
      </c>
      <c r="L158" s="82">
        <f>B279/1000000</f>
        <v>11.611193</v>
      </c>
      <c r="M158" s="82">
        <f>D279/1000000</f>
        <v>9.6895530000000001</v>
      </c>
      <c r="N158" s="82">
        <f>E279/1000000</f>
        <v>9.487603</v>
      </c>
      <c r="O158" s="73">
        <f>L158/I158</f>
        <v>0.92877665135752263</v>
      </c>
      <c r="P158" s="83">
        <f>M158/L158</f>
        <v>0.83450107150918951</v>
      </c>
      <c r="Q158" s="83">
        <f>P158*O158</f>
        <v>0.77506511075056961</v>
      </c>
      <c r="R158" s="83">
        <f>(M158-N158)/M158</f>
        <v>2.084203471512051E-2</v>
      </c>
      <c r="S158" s="80"/>
      <c r="T158" s="79"/>
      <c r="U158" s="79"/>
      <c r="V158" s="79"/>
      <c r="W158" s="79"/>
      <c r="X158" s="71"/>
      <c r="Y158" s="80"/>
      <c r="Z158" s="79"/>
      <c r="AA158" s="79"/>
      <c r="AB158" s="73"/>
      <c r="AC158" s="79"/>
      <c r="AD158" s="71"/>
      <c r="AE158" s="80"/>
      <c r="AF158" s="79"/>
      <c r="AG158" s="79"/>
      <c r="AH158" s="79"/>
      <c r="AI158" s="79"/>
      <c r="AJ158" s="71"/>
      <c r="AK158" s="72"/>
      <c r="AL158" s="73"/>
      <c r="AM158" s="74"/>
      <c r="AN158" s="75">
        <v>0.5</v>
      </c>
    </row>
    <row r="159" spans="1:40" ht="15.6" x14ac:dyDescent="0.3">
      <c r="A159" s="29">
        <v>1933</v>
      </c>
      <c r="B159" s="76">
        <v>41.853769</v>
      </c>
      <c r="C159" s="82">
        <f t="shared" si="26"/>
        <v>29.912583666922213</v>
      </c>
      <c r="D159" s="73">
        <v>0.71469271183013916</v>
      </c>
      <c r="E159" s="73">
        <v>0.33854636549949646</v>
      </c>
      <c r="F159" s="73">
        <v>5.9852700680494308E-2</v>
      </c>
      <c r="G159" s="73">
        <v>4.5521993190050125E-2</v>
      </c>
      <c r="H159" s="73">
        <v>2.3849034681916237E-2</v>
      </c>
      <c r="I159" s="82">
        <f t="shared" si="27"/>
        <v>12.435041341117042</v>
      </c>
      <c r="J159" s="73">
        <f t="shared" si="24"/>
        <v>0.42416647249660566</v>
      </c>
      <c r="K159" s="74">
        <f t="shared" si="25"/>
        <v>0.89544215324466125</v>
      </c>
      <c r="L159" s="77"/>
      <c r="M159" s="77"/>
      <c r="N159" s="77"/>
      <c r="O159" s="77"/>
      <c r="P159" s="83"/>
      <c r="Q159" s="83"/>
      <c r="R159" s="87"/>
      <c r="S159" s="80"/>
      <c r="T159" s="79"/>
      <c r="U159" s="79"/>
      <c r="V159" s="79"/>
      <c r="W159" s="79"/>
      <c r="X159" s="71"/>
      <c r="Y159" s="80"/>
      <c r="Z159" s="79"/>
      <c r="AA159" s="79"/>
      <c r="AB159" s="73"/>
      <c r="AC159" s="79"/>
      <c r="AD159" s="71"/>
      <c r="AE159" s="80"/>
      <c r="AF159" s="79"/>
      <c r="AG159" s="79"/>
      <c r="AH159" s="79"/>
      <c r="AI159" s="79"/>
      <c r="AJ159" s="71"/>
      <c r="AK159" s="72"/>
      <c r="AL159" s="73"/>
      <c r="AM159" s="74"/>
      <c r="AN159" s="75">
        <v>0.5</v>
      </c>
    </row>
    <row r="160" spans="1:40" ht="15.6" x14ac:dyDescent="0.3">
      <c r="A160" s="29">
        <v>1934</v>
      </c>
      <c r="B160" s="76">
        <v>41.868409999999997</v>
      </c>
      <c r="C160" s="82">
        <f t="shared" si="26"/>
        <v>29.750267960595487</v>
      </c>
      <c r="D160" s="73">
        <v>0.71056598424911499</v>
      </c>
      <c r="E160" s="73">
        <v>0.33619669079780579</v>
      </c>
      <c r="F160" s="73">
        <v>5.7347692549228668E-2</v>
      </c>
      <c r="G160" s="73">
        <v>4.5588929206132889E-2</v>
      </c>
      <c r="H160" s="73">
        <v>2.3991836234927177E-2</v>
      </c>
      <c r="I160" s="82">
        <f t="shared" si="27"/>
        <v>12.367999864241627</v>
      </c>
      <c r="J160" s="73">
        <f t="shared" si="24"/>
        <v>0.42449097337005798</v>
      </c>
      <c r="K160" s="74">
        <f t="shared" si="25"/>
        <v>0.8971797003170523</v>
      </c>
      <c r="L160" s="77"/>
      <c r="M160" s="77"/>
      <c r="N160" s="77"/>
      <c r="O160" s="77"/>
      <c r="P160" s="83"/>
      <c r="Q160" s="83"/>
      <c r="R160" s="87"/>
      <c r="S160" s="80"/>
      <c r="T160" s="79"/>
      <c r="U160" s="79"/>
      <c r="V160" s="79"/>
      <c r="W160" s="79"/>
      <c r="X160" s="71"/>
      <c r="Y160" s="80"/>
      <c r="Z160" s="79"/>
      <c r="AA160" s="79"/>
      <c r="AB160" s="73"/>
      <c r="AC160" s="79"/>
      <c r="AD160" s="71"/>
      <c r="AE160" s="80"/>
      <c r="AF160" s="79"/>
      <c r="AG160" s="79"/>
      <c r="AH160" s="79"/>
      <c r="AI160" s="79"/>
      <c r="AJ160" s="71"/>
      <c r="AK160" s="72"/>
      <c r="AL160" s="73"/>
      <c r="AM160" s="74"/>
      <c r="AN160" s="75">
        <v>0.5</v>
      </c>
    </row>
    <row r="161" spans="1:40" ht="15.6" x14ac:dyDescent="0.3">
      <c r="A161" s="29">
        <v>1935</v>
      </c>
      <c r="B161" s="76">
        <v>41.882944000000002</v>
      </c>
      <c r="C161" s="82">
        <f t="shared" si="26"/>
        <v>29.587870661659242</v>
      </c>
      <c r="D161" s="73">
        <v>0.70644199848175049</v>
      </c>
      <c r="E161" s="73">
        <v>0.33384862542152405</v>
      </c>
      <c r="F161" s="73">
        <v>5.484415590763092E-2</v>
      </c>
      <c r="G161" s="73">
        <v>4.56552654504776E-2</v>
      </c>
      <c r="H161" s="73">
        <v>2.4134740233421326E-2</v>
      </c>
      <c r="I161" s="82">
        <f t="shared" si="27"/>
        <v>12.300416330404561</v>
      </c>
      <c r="J161" s="73">
        <f t="shared" si="24"/>
        <v>0.42480602036781373</v>
      </c>
      <c r="K161" s="74">
        <f t="shared" si="25"/>
        <v>0.8989128339731941</v>
      </c>
      <c r="L161" s="77"/>
      <c r="M161" s="77"/>
      <c r="N161" s="77"/>
      <c r="O161" s="77"/>
      <c r="P161" s="83"/>
      <c r="Q161" s="83"/>
      <c r="R161" s="87"/>
      <c r="S161" s="80"/>
      <c r="T161" s="79"/>
      <c r="U161" s="79"/>
      <c r="V161" s="79"/>
      <c r="W161" s="79"/>
      <c r="X161" s="71"/>
      <c r="Y161" s="80"/>
      <c r="Z161" s="79"/>
      <c r="AA161" s="79"/>
      <c r="AB161" s="73"/>
      <c r="AC161" s="79"/>
      <c r="AD161" s="71"/>
      <c r="AE161" s="80"/>
      <c r="AF161" s="79"/>
      <c r="AG161" s="79"/>
      <c r="AH161" s="79"/>
      <c r="AI161" s="79"/>
      <c r="AJ161" s="71"/>
      <c r="AK161" s="72"/>
      <c r="AL161" s="73"/>
      <c r="AM161" s="74"/>
      <c r="AN161" s="75">
        <v>0.5</v>
      </c>
    </row>
    <row r="162" spans="1:40" ht="15.6" x14ac:dyDescent="0.3">
      <c r="A162" s="29">
        <v>1936</v>
      </c>
      <c r="B162" s="76">
        <v>41.897553000000002</v>
      </c>
      <c r="C162" s="82">
        <f t="shared" si="26"/>
        <v>29.425538516860129</v>
      </c>
      <c r="D162" s="73">
        <v>0.70232117176055908</v>
      </c>
      <c r="E162" s="73">
        <v>0.3315022885799408</v>
      </c>
      <c r="F162" s="73">
        <v>5.2342627197504044E-2</v>
      </c>
      <c r="G162" s="73">
        <v>4.5721691101789474E-2</v>
      </c>
      <c r="H162" s="73">
        <v>2.4277288466691971E-2</v>
      </c>
      <c r="I162" s="82">
        <f t="shared" si="27"/>
        <v>12.232345336243045</v>
      </c>
      <c r="J162" s="73">
        <f t="shared" si="24"/>
        <v>0.42511119327892871</v>
      </c>
      <c r="K162" s="74">
        <f t="shared" si="25"/>
        <v>0.90064111675111025</v>
      </c>
      <c r="L162" s="82">
        <f>B274/1000000</f>
        <v>11.777632000000001</v>
      </c>
      <c r="M162" s="82">
        <f>D274/1000000</f>
        <v>9.9171700000000005</v>
      </c>
      <c r="N162" s="82">
        <f>E274/1000000</f>
        <v>9.6707230000000006</v>
      </c>
      <c r="O162" s="73">
        <f>L162/I162</f>
        <v>0.96282697031976527</v>
      </c>
      <c r="P162" s="83">
        <f>M162/L162</f>
        <v>0.84203429008479802</v>
      </c>
      <c r="Q162" s="83">
        <f>P162*O162</f>
        <v>0.81073332442770041</v>
      </c>
      <c r="R162" s="83">
        <f>(M162-N162)/M162</f>
        <v>2.4850536997954038E-2</v>
      </c>
      <c r="S162" s="80"/>
      <c r="T162" s="79"/>
      <c r="U162" s="79"/>
      <c r="V162" s="79"/>
      <c r="W162" s="79"/>
      <c r="X162" s="71"/>
      <c r="Y162" s="80"/>
      <c r="Z162" s="79"/>
      <c r="AA162" s="79"/>
      <c r="AB162" s="73"/>
      <c r="AC162" s="79"/>
      <c r="AD162" s="71"/>
      <c r="AE162" s="80"/>
      <c r="AF162" s="79"/>
      <c r="AG162" s="79"/>
      <c r="AH162" s="79"/>
      <c r="AI162" s="79"/>
      <c r="AJ162" s="71"/>
      <c r="AK162" s="72"/>
      <c r="AL162" s="73"/>
      <c r="AM162" s="74"/>
      <c r="AN162" s="75">
        <v>0.5</v>
      </c>
    </row>
    <row r="163" spans="1:40" ht="15.6" x14ac:dyDescent="0.3">
      <c r="A163" s="29">
        <v>1937</v>
      </c>
      <c r="B163" s="76">
        <v>41.949120000000001</v>
      </c>
      <c r="C163" s="82">
        <f t="shared" si="26"/>
        <v>29.6084638763237</v>
      </c>
      <c r="D163" s="73">
        <v>0.70581847429275513</v>
      </c>
      <c r="E163" s="73">
        <v>0.33248075842857361</v>
      </c>
      <c r="F163" s="73">
        <v>5.1202848553657532E-2</v>
      </c>
      <c r="G163" s="73">
        <v>4.5761149376630783E-2</v>
      </c>
      <c r="H163" s="73">
        <v>2.4306826293468475E-2</v>
      </c>
      <c r="I163" s="82">
        <f t="shared" si="27"/>
        <v>12.313884526829652</v>
      </c>
      <c r="J163" s="73">
        <f t="shared" si="24"/>
        <v>0.42502411099367254</v>
      </c>
      <c r="K163" s="74">
        <f t="shared" si="25"/>
        <v>0.90227738584648032</v>
      </c>
      <c r="L163" s="77"/>
      <c r="M163" s="77"/>
      <c r="N163" s="77"/>
      <c r="O163" s="77"/>
      <c r="P163" s="83"/>
      <c r="Q163" s="83"/>
      <c r="R163" s="87"/>
      <c r="S163" s="80"/>
      <c r="T163" s="79"/>
      <c r="U163" s="79"/>
      <c r="V163" s="79"/>
      <c r="W163" s="79"/>
      <c r="X163" s="71"/>
      <c r="Y163" s="80"/>
      <c r="Z163" s="79"/>
      <c r="AA163" s="79"/>
      <c r="AB163" s="73"/>
      <c r="AC163" s="79"/>
      <c r="AD163" s="71"/>
      <c r="AE163" s="80"/>
      <c r="AF163" s="79"/>
      <c r="AG163" s="79"/>
      <c r="AH163" s="79"/>
      <c r="AI163" s="79"/>
      <c r="AJ163" s="71"/>
      <c r="AK163" s="72"/>
      <c r="AL163" s="73"/>
      <c r="AM163" s="74"/>
      <c r="AN163" s="75">
        <v>0.5</v>
      </c>
    </row>
    <row r="164" spans="1:40" ht="15.6" x14ac:dyDescent="0.3">
      <c r="A164" s="29">
        <v>1938</v>
      </c>
      <c r="B164" s="76">
        <v>41.998776999999997</v>
      </c>
      <c r="C164" s="82">
        <f t="shared" si="26"/>
        <v>29.790064694924592</v>
      </c>
      <c r="D164" s="73">
        <v>0.70930790901184082</v>
      </c>
      <c r="E164" s="73">
        <v>0.33345678448677063</v>
      </c>
      <c r="F164" s="73">
        <v>5.0065807998180389E-2</v>
      </c>
      <c r="G164" s="73">
        <v>4.5800548046827316E-2</v>
      </c>
      <c r="H164" s="73">
        <v>2.4336256086826324E-2</v>
      </c>
      <c r="I164" s="82">
        <f t="shared" si="27"/>
        <v>12.394924270463557</v>
      </c>
      <c r="J164" s="73">
        <f t="shared" si="24"/>
        <v>0.42494281524286104</v>
      </c>
      <c r="K164" s="74">
        <f t="shared" si="25"/>
        <v>0.90391113257279354</v>
      </c>
      <c r="L164" s="77"/>
      <c r="M164" s="77"/>
      <c r="N164" s="77"/>
      <c r="O164" s="77"/>
      <c r="P164" s="83"/>
      <c r="Q164" s="83"/>
      <c r="R164" s="87"/>
      <c r="S164" s="80"/>
      <c r="T164" s="79"/>
      <c r="U164" s="79"/>
      <c r="V164" s="79"/>
      <c r="W164" s="79"/>
      <c r="X164" s="71"/>
      <c r="Y164" s="80"/>
      <c r="Z164" s="79"/>
      <c r="AA164" s="79"/>
      <c r="AB164" s="73"/>
      <c r="AC164" s="79"/>
      <c r="AD164" s="71"/>
      <c r="AE164" s="80"/>
      <c r="AF164" s="79"/>
      <c r="AG164" s="79"/>
      <c r="AH164" s="79"/>
      <c r="AI164" s="79"/>
      <c r="AJ164" s="71"/>
      <c r="AK164" s="72"/>
      <c r="AL164" s="73"/>
      <c r="AM164" s="74"/>
      <c r="AN164" s="75">
        <v>0.5</v>
      </c>
    </row>
    <row r="165" spans="1:40" ht="15.6" x14ac:dyDescent="0.3">
      <c r="A165" s="29">
        <v>1939</v>
      </c>
      <c r="B165" s="76">
        <v>42.052374</v>
      </c>
      <c r="C165" s="82">
        <f t="shared" si="26"/>
        <v>29.974449520290971</v>
      </c>
      <c r="D165" s="73">
        <v>0.71278852224349976</v>
      </c>
      <c r="E165" s="73">
        <v>0.33443054556846619</v>
      </c>
      <c r="F165" s="73">
        <v>4.8931580036878586E-2</v>
      </c>
      <c r="G165" s="73">
        <v>4.5839171856641769E-2</v>
      </c>
      <c r="H165" s="73">
        <v>2.436537854373455E-2</v>
      </c>
      <c r="I165" s="82">
        <f t="shared" si="27"/>
        <v>12.477192564084879</v>
      </c>
      <c r="J165" s="73">
        <f t="shared" si="24"/>
        <v>0.42486787825534789</v>
      </c>
      <c r="K165" s="74">
        <f t="shared" si="25"/>
        <v>0.90554212557226343</v>
      </c>
      <c r="L165" s="77"/>
      <c r="M165" s="77"/>
      <c r="N165" s="77"/>
      <c r="O165" s="77"/>
      <c r="P165" s="83"/>
      <c r="Q165" s="83"/>
      <c r="R165" s="87"/>
      <c r="S165" s="80"/>
      <c r="T165" s="79"/>
      <c r="U165" s="79"/>
      <c r="V165" s="79"/>
      <c r="W165" s="79"/>
      <c r="X165" s="71"/>
      <c r="Y165" s="80"/>
      <c r="Z165" s="79"/>
      <c r="AA165" s="79"/>
      <c r="AB165" s="73"/>
      <c r="AC165" s="79"/>
      <c r="AD165" s="71"/>
      <c r="AE165" s="80"/>
      <c r="AF165" s="79"/>
      <c r="AG165" s="79"/>
      <c r="AH165" s="79"/>
      <c r="AI165" s="79"/>
      <c r="AJ165" s="71"/>
      <c r="AK165" s="72"/>
      <c r="AL165" s="73"/>
      <c r="AM165" s="74"/>
      <c r="AN165" s="75">
        <v>0.5</v>
      </c>
    </row>
    <row r="166" spans="1:40" ht="15.6" x14ac:dyDescent="0.3">
      <c r="A166" s="29">
        <v>1940</v>
      </c>
      <c r="B166" s="76">
        <v>42.100104000000002</v>
      </c>
      <c r="C166" s="82">
        <f t="shared" si="26"/>
        <v>30.15467135038233</v>
      </c>
      <c r="D166" s="73">
        <v>0.71626120805740356</v>
      </c>
      <c r="E166" s="73">
        <v>0.33540192246437073</v>
      </c>
      <c r="F166" s="73">
        <v>4.7799959778785706E-2</v>
      </c>
      <c r="G166" s="73">
        <v>4.587872326374054E-2</v>
      </c>
      <c r="H166" s="73">
        <v>2.4394571781158447E-2</v>
      </c>
      <c r="I166" s="82">
        <f t="shared" si="27"/>
        <v>12.557784849462742</v>
      </c>
      <c r="J166" s="73">
        <f t="shared" si="24"/>
        <v>0.42479864983620702</v>
      </c>
      <c r="K166" s="74">
        <f t="shared" si="25"/>
        <v>0.90717069203787115</v>
      </c>
      <c r="L166" s="77"/>
      <c r="M166" s="77"/>
      <c r="N166" s="77"/>
      <c r="O166" s="77"/>
      <c r="P166" s="83"/>
      <c r="Q166" s="83"/>
      <c r="R166" s="87"/>
      <c r="S166" s="80"/>
      <c r="T166" s="79"/>
      <c r="U166" s="79"/>
      <c r="V166" s="79"/>
      <c r="W166" s="79"/>
      <c r="X166" s="71"/>
      <c r="Y166" s="80"/>
      <c r="Z166" s="79"/>
      <c r="AA166" s="79"/>
      <c r="AB166" s="73"/>
      <c r="AC166" s="79"/>
      <c r="AD166" s="71"/>
      <c r="AE166" s="80"/>
      <c r="AF166" s="79"/>
      <c r="AG166" s="79"/>
      <c r="AH166" s="79"/>
      <c r="AI166" s="79"/>
      <c r="AJ166" s="71"/>
      <c r="AK166" s="72"/>
      <c r="AL166" s="73"/>
      <c r="AM166" s="74"/>
      <c r="AN166" s="75">
        <v>0.5</v>
      </c>
    </row>
    <row r="167" spans="1:40" ht="15.6" x14ac:dyDescent="0.3">
      <c r="A167" s="29">
        <v>1941</v>
      </c>
      <c r="B167" s="76">
        <v>42.151685000000001</v>
      </c>
      <c r="C167" s="82">
        <f t="shared" si="26"/>
        <v>30.33758936362058</v>
      </c>
      <c r="D167" s="73">
        <v>0.71972423791885376</v>
      </c>
      <c r="E167" s="73">
        <v>0.33637058734893799</v>
      </c>
      <c r="F167" s="73">
        <v>4.6671569347381592E-2</v>
      </c>
      <c r="G167" s="73">
        <v>4.5917261391878128E-2</v>
      </c>
      <c r="H167" s="73">
        <v>2.4423958733677864E-2</v>
      </c>
      <c r="I167" s="82">
        <f t="shared" si="27"/>
        <v>12.639559157524412</v>
      </c>
      <c r="J167" s="73">
        <f t="shared" si="24"/>
        <v>0.42473521543719245</v>
      </c>
      <c r="K167" s="74">
        <f t="shared" si="25"/>
        <v>0.90879595525015411</v>
      </c>
      <c r="L167" s="77"/>
      <c r="M167" s="77"/>
      <c r="N167" s="77"/>
      <c r="O167" s="77"/>
      <c r="P167" s="83"/>
      <c r="Q167" s="83"/>
      <c r="R167" s="87"/>
      <c r="S167" s="80"/>
      <c r="T167" s="79"/>
      <c r="U167" s="79"/>
      <c r="V167" s="79"/>
      <c r="W167" s="79"/>
      <c r="X167" s="71"/>
      <c r="Y167" s="80"/>
      <c r="Z167" s="79"/>
      <c r="AA167" s="79"/>
      <c r="AB167" s="73"/>
      <c r="AC167" s="79"/>
      <c r="AD167" s="71"/>
      <c r="AE167" s="80"/>
      <c r="AF167" s="79"/>
      <c r="AG167" s="79"/>
      <c r="AH167" s="79"/>
      <c r="AI167" s="79"/>
      <c r="AJ167" s="71"/>
      <c r="AK167" s="72"/>
      <c r="AL167" s="73"/>
      <c r="AM167" s="74"/>
      <c r="AN167" s="75">
        <v>0.5</v>
      </c>
    </row>
    <row r="168" spans="1:40" ht="15.6" x14ac:dyDescent="0.3">
      <c r="A168" s="29">
        <v>1942</v>
      </c>
      <c r="B168" s="76">
        <v>42.201321</v>
      </c>
      <c r="C168" s="82">
        <f t="shared" si="26"/>
        <v>30.51919642965585</v>
      </c>
      <c r="D168" s="73">
        <v>0.72318106889724731</v>
      </c>
      <c r="E168" s="73">
        <v>0.33733788132667542</v>
      </c>
      <c r="F168" s="73">
        <v>4.5544948428869247E-2</v>
      </c>
      <c r="G168" s="73">
        <v>4.5956477522850037E-2</v>
      </c>
      <c r="H168" s="73">
        <v>2.4453049525618553E-2</v>
      </c>
      <c r="I168" s="82">
        <f t="shared" si="27"/>
        <v>12.720871235636968</v>
      </c>
      <c r="J168" s="73">
        <f t="shared" si="24"/>
        <v>0.42467801706696146</v>
      </c>
      <c r="K168" s="84">
        <f>(1-F168)*(1-(3/18)*(1-D168))</f>
        <v>0.91041984704420686</v>
      </c>
      <c r="L168" s="77"/>
      <c r="M168" s="77"/>
      <c r="N168" s="77"/>
      <c r="O168" s="77"/>
      <c r="P168" s="83"/>
      <c r="Q168" s="83"/>
      <c r="R168" s="87"/>
      <c r="S168" s="80"/>
      <c r="T168" s="79"/>
      <c r="U168" s="79"/>
      <c r="V168" s="79"/>
      <c r="W168" s="79"/>
      <c r="X168" s="71"/>
      <c r="Y168" s="80"/>
      <c r="Z168" s="79"/>
      <c r="AA168" s="79"/>
      <c r="AB168" s="73"/>
      <c r="AC168" s="79"/>
      <c r="AD168" s="71"/>
      <c r="AE168" s="80"/>
      <c r="AF168" s="79"/>
      <c r="AG168" s="79"/>
      <c r="AH168" s="79"/>
      <c r="AI168" s="79"/>
      <c r="AJ168" s="71"/>
      <c r="AK168" s="72"/>
      <c r="AL168" s="73"/>
      <c r="AM168" s="74"/>
      <c r="AN168" s="75">
        <v>0.5</v>
      </c>
    </row>
    <row r="169" spans="1:40" ht="15.6" x14ac:dyDescent="0.3">
      <c r="A169" s="29">
        <v>1943</v>
      </c>
      <c r="B169" s="76">
        <v>42.252957000000002</v>
      </c>
      <c r="C169" s="82">
        <f t="shared" si="26"/>
        <v>30.702204537834408</v>
      </c>
      <c r="D169" s="73">
        <v>0.72662854194641113</v>
      </c>
      <c r="E169" s="73">
        <v>0.33830231428146362</v>
      </c>
      <c r="F169" s="73">
        <v>4.4421575963497162E-2</v>
      </c>
      <c r="G169" s="73">
        <v>4.5994743704795837E-2</v>
      </c>
      <c r="H169" s="73">
        <v>2.4482168257236481E-2</v>
      </c>
      <c r="I169" s="82">
        <f t="shared" si="27"/>
        <v>12.802817713459882</v>
      </c>
      <c r="J169" s="73">
        <f t="shared" si="24"/>
        <v>0.42462603084480943</v>
      </c>
      <c r="K169" s="84">
        <f t="shared" si="25"/>
        <v>0.91204044619260127</v>
      </c>
      <c r="L169" s="77"/>
      <c r="M169" s="77"/>
      <c r="N169" s="77"/>
      <c r="O169" s="77"/>
      <c r="P169" s="83"/>
      <c r="Q169" s="83"/>
      <c r="R169" s="87"/>
      <c r="S169" s="80"/>
      <c r="T169" s="79"/>
      <c r="U169" s="79"/>
      <c r="V169" s="79"/>
      <c r="W169" s="79"/>
      <c r="X169" s="71"/>
      <c r="Y169" s="80"/>
      <c r="Z169" s="79"/>
      <c r="AA169" s="79"/>
      <c r="AB169" s="73"/>
      <c r="AC169" s="79"/>
      <c r="AD169" s="71"/>
      <c r="AE169" s="80"/>
      <c r="AF169" s="79"/>
      <c r="AG169" s="79"/>
      <c r="AH169" s="79"/>
      <c r="AI169" s="79"/>
      <c r="AJ169" s="71"/>
      <c r="AK169" s="72"/>
      <c r="AL169" s="73"/>
      <c r="AM169" s="74"/>
      <c r="AN169" s="75">
        <v>0.5</v>
      </c>
    </row>
    <row r="170" spans="1:40" ht="15.6" x14ac:dyDescent="0.3">
      <c r="A170" s="29">
        <v>1944</v>
      </c>
      <c r="B170" s="76">
        <v>42.302652999999999</v>
      </c>
      <c r="C170" s="82">
        <f t="shared" si="26"/>
        <v>30.8838068894397</v>
      </c>
      <c r="D170" s="73">
        <v>0.73006784915924072</v>
      </c>
      <c r="E170" s="73">
        <v>0.33926442265510559</v>
      </c>
      <c r="F170" s="73">
        <v>4.3300773948431015E-2</v>
      </c>
      <c r="G170" s="73">
        <v>4.6033378690481186E-2</v>
      </c>
      <c r="H170" s="73">
        <v>2.4511134251952171E-2</v>
      </c>
      <c r="I170" s="82">
        <f t="shared" ref="I170:I198" si="28">(1-F170)*(1-(1+3/18)*(1-D170))*B170</f>
        <v>27.725780609257242</v>
      </c>
      <c r="J170" s="73">
        <f t="shared" si="24"/>
        <v>0.42457951107889341</v>
      </c>
      <c r="K170" s="84">
        <f t="shared" si="25"/>
        <v>0.91365857941893736</v>
      </c>
      <c r="L170" s="82">
        <f>0.9*I169</f>
        <v>11.522535942113894</v>
      </c>
      <c r="M170" s="77"/>
      <c r="N170" s="77"/>
      <c r="O170" s="77"/>
      <c r="P170" s="83"/>
      <c r="Q170" s="83"/>
      <c r="R170" s="87"/>
      <c r="S170" s="80"/>
      <c r="T170" s="79"/>
      <c r="U170" s="79"/>
      <c r="V170" s="79"/>
      <c r="W170" s="79"/>
      <c r="X170" s="71"/>
      <c r="Y170" s="80"/>
      <c r="Z170" s="79"/>
      <c r="AA170" s="79"/>
      <c r="AB170" s="73"/>
      <c r="AC170" s="79"/>
      <c r="AD170" s="71"/>
      <c r="AE170" s="80"/>
      <c r="AF170" s="79"/>
      <c r="AG170" s="79"/>
      <c r="AH170" s="79"/>
      <c r="AI170" s="79"/>
      <c r="AJ170" s="71"/>
      <c r="AK170" s="72"/>
      <c r="AL170" s="73"/>
      <c r="AM170" s="74"/>
      <c r="AN170" s="75">
        <v>0.5</v>
      </c>
    </row>
    <row r="171" spans="1:40" ht="15.6" x14ac:dyDescent="0.3">
      <c r="A171" s="29">
        <v>1945</v>
      </c>
      <c r="B171" s="76">
        <v>42.361986000000002</v>
      </c>
      <c r="C171" s="82">
        <f t="shared" si="26"/>
        <v>31.072466393175603</v>
      </c>
      <c r="D171" s="73">
        <v>0.73349881172180176</v>
      </c>
      <c r="E171" s="73">
        <v>0.34022417664527893</v>
      </c>
      <c r="F171" s="73">
        <v>4.2182818055152893E-2</v>
      </c>
      <c r="G171" s="73">
        <v>4.6071682125329971E-2</v>
      </c>
      <c r="H171" s="73">
        <v>2.4539170786738396E-2</v>
      </c>
      <c r="I171" s="82">
        <f t="shared" si="28"/>
        <v>27.959526220900813</v>
      </c>
      <c r="J171" s="73">
        <f t="shared" ref="J171:J199" si="29">(1-F171)*(1-(3/18)*(1-D171))</f>
        <v>0.91527394575458421</v>
      </c>
      <c r="K171" s="84">
        <f t="shared" ref="K171:K199" si="30">(1-1.1*F171)*(1-(3/18)*(1-D171))</f>
        <v>0.91124302680134595</v>
      </c>
      <c r="L171" s="82">
        <v>24.614889999999999</v>
      </c>
      <c r="M171" s="82">
        <v>19.653397999999999</v>
      </c>
      <c r="N171" s="82">
        <f>M171*(1-R171)</f>
        <v>19.360054544584596</v>
      </c>
      <c r="O171" s="73">
        <f t="shared" ref="O171:O173" si="31">L171/I171</f>
        <v>0.88037579054538595</v>
      </c>
      <c r="P171" s="83">
        <f>M171/L171</f>
        <v>0.79843533731005911</v>
      </c>
      <c r="Q171" s="83">
        <f t="shared" ref="Q171:Q173" si="32">P171*O171</f>
        <v>0.70292314128371514</v>
      </c>
      <c r="R171" s="83">
        <f>R172</f>
        <v>1.4925839054162626E-2</v>
      </c>
      <c r="S171" s="80"/>
      <c r="T171" s="79"/>
      <c r="U171" s="79"/>
      <c r="V171" s="79"/>
      <c r="W171" s="79"/>
      <c r="X171" s="71"/>
      <c r="Y171" s="76"/>
      <c r="Z171" s="82"/>
      <c r="AA171" s="82"/>
      <c r="AB171" s="73">
        <v>0.79800000000000004</v>
      </c>
      <c r="AC171" s="73">
        <v>5.2999999999999999E-2</v>
      </c>
      <c r="AD171" s="74">
        <v>0.96399999999999997</v>
      </c>
      <c r="AE171" s="80"/>
      <c r="AF171" s="79"/>
      <c r="AG171" s="79"/>
      <c r="AH171" s="79"/>
      <c r="AI171" s="79"/>
      <c r="AJ171" s="71"/>
      <c r="AK171" s="72"/>
      <c r="AL171" s="73"/>
      <c r="AM171" s="74"/>
      <c r="AN171" s="75">
        <v>0.5</v>
      </c>
    </row>
    <row r="172" spans="1:40" ht="15.6" x14ac:dyDescent="0.3">
      <c r="A172" s="29">
        <v>1946</v>
      </c>
      <c r="B172" s="76">
        <v>42.403910000000003</v>
      </c>
      <c r="C172" s="82">
        <f t="shared" si="26"/>
        <v>31.248360089155437</v>
      </c>
      <c r="D172" s="73">
        <v>0.73692166805267334</v>
      </c>
      <c r="E172" s="73">
        <v>0.34118169546127319</v>
      </c>
      <c r="F172" s="73">
        <v>4.1067298501729965E-2</v>
      </c>
      <c r="G172" s="73">
        <v>4.6110417693853378E-2</v>
      </c>
      <c r="H172" s="73">
        <v>2.4568513035774231E-2</v>
      </c>
      <c r="I172" s="82">
        <f t="shared" si="28"/>
        <v>28.18217075556705</v>
      </c>
      <c r="J172" s="73">
        <f t="shared" si="29"/>
        <v>0.91688696557161853</v>
      </c>
      <c r="K172" s="84">
        <f t="shared" si="30"/>
        <v>0.91296030099456915</v>
      </c>
      <c r="L172" s="82">
        <v>24.812113</v>
      </c>
      <c r="M172" s="82">
        <v>20.277653999999998</v>
      </c>
      <c r="N172" s="82">
        <v>19.974993000000001</v>
      </c>
      <c r="O172" s="73">
        <f t="shared" si="31"/>
        <v>0.88041880148989815</v>
      </c>
      <c r="P172" s="83">
        <f>M172/L172</f>
        <v>0.81724817229391133</v>
      </c>
      <c r="Q172" s="83">
        <f t="shared" si="32"/>
        <v>0.71952065637081519</v>
      </c>
      <c r="R172" s="83">
        <f>(M172-N172)/M172</f>
        <v>1.4925839054162626E-2</v>
      </c>
      <c r="S172" s="80"/>
      <c r="T172" s="79"/>
      <c r="U172" s="79"/>
      <c r="V172" s="79"/>
      <c r="W172" s="79"/>
      <c r="X172" s="71"/>
      <c r="Y172" s="76">
        <v>24.595483999999999</v>
      </c>
      <c r="Z172" s="82">
        <f>AB172*Y172</f>
        <v>19.8491</v>
      </c>
      <c r="AA172" s="82">
        <f>(1-AC172)*Z172</f>
        <v>19.342452999999999</v>
      </c>
      <c r="AB172" s="73">
        <v>0.80702213463252037</v>
      </c>
      <c r="AC172" s="85">
        <v>2.5524935639399282E-2</v>
      </c>
      <c r="AD172" s="74">
        <v>0.46989190047405055</v>
      </c>
      <c r="AE172" s="80"/>
      <c r="AF172" s="79"/>
      <c r="AG172" s="79"/>
      <c r="AH172" s="79"/>
      <c r="AI172" s="79"/>
      <c r="AJ172" s="71"/>
      <c r="AK172" s="72"/>
      <c r="AL172" s="73"/>
      <c r="AM172" s="74"/>
      <c r="AN172" s="75">
        <v>0.5</v>
      </c>
    </row>
    <row r="173" spans="1:40" ht="15.6" x14ac:dyDescent="0.3">
      <c r="A173" s="29">
        <v>1947</v>
      </c>
      <c r="B173" s="76">
        <v>42.455539000000002</v>
      </c>
      <c r="C173" s="82">
        <f t="shared" si="26"/>
        <v>31.188398520219089</v>
      </c>
      <c r="D173" s="73">
        <v>0.73461318016052246</v>
      </c>
      <c r="E173" s="73">
        <v>0.34065088629722595</v>
      </c>
      <c r="F173" s="73">
        <v>4.1084282100200653E-2</v>
      </c>
      <c r="G173" s="73">
        <v>4.6148937195539474E-2</v>
      </c>
      <c r="H173" s="73">
        <v>2.4597309529781342E-2</v>
      </c>
      <c r="I173" s="82">
        <f t="shared" si="28"/>
        <v>28.106339206853093</v>
      </c>
      <c r="J173" s="73">
        <f t="shared" si="29"/>
        <v>0.91650178575521313</v>
      </c>
      <c r="K173" s="74">
        <f t="shared" si="30"/>
        <v>0.9125750779947257</v>
      </c>
      <c r="L173" s="82">
        <v>25.062234</v>
      </c>
      <c r="M173" s="82">
        <v>19.563101</v>
      </c>
      <c r="N173" s="82">
        <v>19.201986000000002</v>
      </c>
      <c r="O173" s="73">
        <f t="shared" si="31"/>
        <v>0.8916932872527612</v>
      </c>
      <c r="P173" s="83">
        <f>M173/L173</f>
        <v>0.78058089314783352</v>
      </c>
      <c r="Q173" s="83">
        <f t="shared" si="32"/>
        <v>0.69603874257768805</v>
      </c>
      <c r="R173" s="83">
        <f>(M173-N173)/M173</f>
        <v>1.8458985617873059E-2</v>
      </c>
      <c r="S173" s="80"/>
      <c r="T173" s="79"/>
      <c r="U173" s="79"/>
      <c r="V173" s="79"/>
      <c r="W173" s="79"/>
      <c r="X173" s="71"/>
      <c r="Y173" s="80"/>
      <c r="Z173" s="79"/>
      <c r="AA173" s="79"/>
      <c r="AB173" s="73">
        <v>0.68600000000000005</v>
      </c>
      <c r="AC173" s="73">
        <v>1.9E-2</v>
      </c>
      <c r="AD173" s="74">
        <v>0.53600000000000003</v>
      </c>
      <c r="AE173" s="80"/>
      <c r="AF173" s="79"/>
      <c r="AG173" s="79"/>
      <c r="AH173" s="79"/>
      <c r="AI173" s="79"/>
      <c r="AJ173" s="71"/>
      <c r="AK173" s="72">
        <v>0.76800000000000002</v>
      </c>
      <c r="AL173" s="73"/>
      <c r="AM173" s="74"/>
      <c r="AN173" s="75">
        <v>0.5</v>
      </c>
    </row>
    <row r="174" spans="1:40" ht="15.6" x14ac:dyDescent="0.3">
      <c r="A174" s="29">
        <v>1948</v>
      </c>
      <c r="B174" s="76">
        <v>42.505242000000003</v>
      </c>
      <c r="C174" s="82">
        <f t="shared" si="26"/>
        <v>31.127041513587717</v>
      </c>
      <c r="D174" s="73">
        <v>0.73231065273284912</v>
      </c>
      <c r="E174" s="73">
        <v>0.34012171626091003</v>
      </c>
      <c r="F174" s="73">
        <v>4.110129177570343E-2</v>
      </c>
      <c r="G174" s="73">
        <v>4.6186584979295731E-2</v>
      </c>
      <c r="H174" s="73">
        <v>2.4626044556498528E-2</v>
      </c>
      <c r="I174" s="82">
        <f t="shared" si="28"/>
        <v>28.029256273500341</v>
      </c>
      <c r="J174" s="73">
        <f t="shared" si="29"/>
        <v>0.91611754667431722</v>
      </c>
      <c r="K174" s="74">
        <f t="shared" si="30"/>
        <v>0.91219079046286811</v>
      </c>
      <c r="L174" s="77"/>
      <c r="M174" s="77"/>
      <c r="N174" s="77"/>
      <c r="O174" s="77"/>
      <c r="P174" s="83"/>
      <c r="Q174" s="83"/>
      <c r="R174" s="87"/>
      <c r="S174" s="80"/>
      <c r="T174" s="79"/>
      <c r="U174" s="79"/>
      <c r="V174" s="79"/>
      <c r="W174" s="79"/>
      <c r="X174" s="71"/>
      <c r="Y174" s="80"/>
      <c r="Z174" s="79"/>
      <c r="AA174" s="79"/>
      <c r="AB174" s="73"/>
      <c r="AC174" s="79"/>
      <c r="AD174" s="71"/>
      <c r="AE174" s="80"/>
      <c r="AF174" s="79"/>
      <c r="AG174" s="79"/>
      <c r="AH174" s="79"/>
      <c r="AI174" s="79"/>
      <c r="AJ174" s="71"/>
      <c r="AK174" s="72"/>
      <c r="AL174" s="73"/>
      <c r="AM174" s="74"/>
      <c r="AN174" s="75">
        <v>0.5</v>
      </c>
    </row>
    <row r="175" spans="1:40" ht="15.6" x14ac:dyDescent="0.3">
      <c r="A175" s="29">
        <v>1949</v>
      </c>
      <c r="B175" s="76">
        <v>42.556811000000003</v>
      </c>
      <c r="C175" s="82">
        <f t="shared" si="26"/>
        <v>31.067051182768108</v>
      </c>
      <c r="D175" s="73">
        <v>0.73001360893249512</v>
      </c>
      <c r="E175" s="73">
        <v>0.33959358930587769</v>
      </c>
      <c r="F175" s="73">
        <v>4.1117977350950241E-2</v>
      </c>
      <c r="G175" s="73">
        <v>4.6225316822528839E-2</v>
      </c>
      <c r="H175" s="73">
        <v>2.465469017624855E-2</v>
      </c>
      <c r="I175" s="82">
        <f t="shared" si="28"/>
        <v>27.953416186991049</v>
      </c>
      <c r="J175" s="73">
        <f t="shared" si="29"/>
        <v>0.91573450652329536</v>
      </c>
      <c r="K175" s="74">
        <f t="shared" si="30"/>
        <v>0.91180773036008333</v>
      </c>
      <c r="L175" s="77"/>
      <c r="M175" s="77"/>
      <c r="N175" s="77"/>
      <c r="O175" s="77"/>
      <c r="P175" s="83"/>
      <c r="Q175" s="83"/>
      <c r="R175" s="87"/>
      <c r="S175" s="80"/>
      <c r="T175" s="79"/>
      <c r="U175" s="79"/>
      <c r="V175" s="79"/>
      <c r="W175" s="79"/>
      <c r="X175" s="71"/>
      <c r="Y175" s="80"/>
      <c r="Z175" s="79"/>
      <c r="AA175" s="79"/>
      <c r="AB175" s="73"/>
      <c r="AC175" s="79"/>
      <c r="AD175" s="71"/>
      <c r="AE175" s="80"/>
      <c r="AF175" s="79"/>
      <c r="AG175" s="79"/>
      <c r="AH175" s="79"/>
      <c r="AI175" s="79"/>
      <c r="AJ175" s="71"/>
      <c r="AK175" s="72"/>
      <c r="AL175" s="73"/>
      <c r="AM175" s="74"/>
      <c r="AN175" s="75">
        <v>0.5</v>
      </c>
    </row>
    <row r="176" spans="1:40" ht="15.6" x14ac:dyDescent="0.3">
      <c r="A176" s="29">
        <v>1950</v>
      </c>
      <c r="B176" s="76">
        <v>42.606459000000001</v>
      </c>
      <c r="C176" s="82">
        <f t="shared" si="26"/>
        <v>31.005621540723144</v>
      </c>
      <c r="D176" s="73">
        <v>0.72772115468978882</v>
      </c>
      <c r="E176" s="73">
        <v>0.33906641602516174</v>
      </c>
      <c r="F176" s="73">
        <v>4.1134960949420929E-2</v>
      </c>
      <c r="G176" s="73">
        <v>4.6262867748737335E-2</v>
      </c>
      <c r="H176" s="73">
        <v>2.4683417752385139E-2</v>
      </c>
      <c r="I176" s="82">
        <f t="shared" si="28"/>
        <v>27.876266932198153</v>
      </c>
      <c r="J176" s="73">
        <f t="shared" si="29"/>
        <v>0.91535192811040866</v>
      </c>
      <c r="K176" s="74">
        <f t="shared" si="30"/>
        <v>0.91142510167661972</v>
      </c>
      <c r="L176" s="77"/>
      <c r="M176" s="77"/>
      <c r="N176" s="77"/>
      <c r="O176" s="77"/>
      <c r="P176" s="83"/>
      <c r="Q176" s="83"/>
      <c r="R176" s="87"/>
      <c r="S176" s="80"/>
      <c r="T176" s="79"/>
      <c r="U176" s="79"/>
      <c r="V176" s="79"/>
      <c r="W176" s="79"/>
      <c r="X176" s="71"/>
      <c r="Y176" s="80"/>
      <c r="Z176" s="79"/>
      <c r="AA176" s="79"/>
      <c r="AB176" s="73"/>
      <c r="AC176" s="79"/>
      <c r="AD176" s="71"/>
      <c r="AE176" s="80"/>
      <c r="AF176" s="79"/>
      <c r="AG176" s="79"/>
      <c r="AH176" s="79"/>
      <c r="AI176" s="79"/>
      <c r="AJ176" s="71"/>
      <c r="AK176" s="72"/>
      <c r="AL176" s="73"/>
      <c r="AM176" s="74"/>
      <c r="AN176" s="75">
        <v>0.5</v>
      </c>
    </row>
    <row r="177" spans="1:40" ht="15.6" x14ac:dyDescent="0.3">
      <c r="A177" s="29">
        <v>1951</v>
      </c>
      <c r="B177" s="76">
        <v>42.659992000000003</v>
      </c>
      <c r="C177" s="82">
        <f t="shared" si="26"/>
        <v>30.947074972014907</v>
      </c>
      <c r="D177" s="73">
        <v>0.72543555498123169</v>
      </c>
      <c r="E177" s="73">
        <v>0.33854129910469055</v>
      </c>
      <c r="F177" s="73">
        <v>4.1151311248540878E-2</v>
      </c>
      <c r="G177" s="73">
        <v>4.6301346272230148E-2</v>
      </c>
      <c r="H177" s="73">
        <v>2.4711890146136284E-2</v>
      </c>
      <c r="I177" s="82">
        <f t="shared" si="28"/>
        <v>27.801743068653231</v>
      </c>
      <c r="J177" s="73">
        <f t="shared" si="29"/>
        <v>0.91497106240412274</v>
      </c>
      <c r="K177" s="74">
        <f t="shared" si="30"/>
        <v>0.91104424272818119</v>
      </c>
      <c r="L177" s="82">
        <v>24.500404</v>
      </c>
      <c r="M177" s="82">
        <v>19.730198000000001</v>
      </c>
      <c r="N177" s="82">
        <v>19.189585000000001</v>
      </c>
      <c r="O177" s="73">
        <f t="shared" ref="O177" si="33">L177/I177</f>
        <v>0.88125424148763076</v>
      </c>
      <c r="P177" s="83">
        <f>M177/L177</f>
        <v>0.80530092483372939</v>
      </c>
      <c r="Q177" s="83">
        <f t="shared" ref="Q177" si="34">P177*O177</f>
        <v>0.70967485568363575</v>
      </c>
      <c r="R177" s="83">
        <f>(M177-N177)/M177</f>
        <v>2.7400282551650036E-2</v>
      </c>
      <c r="S177" s="80"/>
      <c r="T177" s="79"/>
      <c r="U177" s="79"/>
      <c r="V177" s="79"/>
      <c r="W177" s="79"/>
      <c r="X177" s="71"/>
      <c r="Y177" s="80"/>
      <c r="Z177" s="79"/>
      <c r="AA177" s="79"/>
      <c r="AB177" s="73"/>
      <c r="AC177" s="79"/>
      <c r="AD177" s="71"/>
      <c r="AE177" s="80"/>
      <c r="AF177" s="79"/>
      <c r="AG177" s="79"/>
      <c r="AH177" s="79"/>
      <c r="AI177" s="79"/>
      <c r="AJ177" s="71"/>
      <c r="AK177" s="72"/>
      <c r="AL177" s="73"/>
      <c r="AM177" s="74"/>
      <c r="AN177" s="75">
        <v>0.5</v>
      </c>
    </row>
    <row r="178" spans="1:40" ht="15.6" x14ac:dyDescent="0.3">
      <c r="A178" s="29">
        <v>1952</v>
      </c>
      <c r="B178" s="76">
        <v>42.707785999999999</v>
      </c>
      <c r="C178" s="82">
        <f t="shared" si="26"/>
        <v>30.884332091123223</v>
      </c>
      <c r="D178" s="73">
        <v>0.72315460443496704</v>
      </c>
      <c r="E178" s="73">
        <v>0.33801686763763428</v>
      </c>
      <c r="F178" s="73">
        <v>4.1168097406625748E-2</v>
      </c>
      <c r="G178" s="73">
        <v>4.6338833868503571E-2</v>
      </c>
      <c r="H178" s="73">
        <v>2.4740079417824745E-2</v>
      </c>
      <c r="I178" s="82">
        <f t="shared" si="28"/>
        <v>27.72343209814505</v>
      </c>
      <c r="J178" s="73">
        <f t="shared" si="29"/>
        <v>0.91459053636773491</v>
      </c>
      <c r="K178" s="74">
        <f t="shared" si="30"/>
        <v>0.91066367993059227</v>
      </c>
      <c r="L178" s="77"/>
      <c r="M178" s="77"/>
      <c r="N178" s="77"/>
      <c r="O178" s="77"/>
      <c r="P178" s="83"/>
      <c r="Q178" s="83"/>
      <c r="R178" s="87"/>
      <c r="S178" s="80"/>
      <c r="T178" s="79"/>
      <c r="U178" s="79"/>
      <c r="V178" s="79"/>
      <c r="W178" s="79"/>
      <c r="X178" s="71"/>
      <c r="Y178" s="80"/>
      <c r="Z178" s="79"/>
      <c r="AA178" s="79"/>
      <c r="AB178" s="73"/>
      <c r="AC178" s="79"/>
      <c r="AD178" s="71"/>
      <c r="AE178" s="80"/>
      <c r="AF178" s="79"/>
      <c r="AG178" s="79"/>
      <c r="AH178" s="79"/>
      <c r="AI178" s="79"/>
      <c r="AJ178" s="71"/>
      <c r="AK178" s="72"/>
      <c r="AL178" s="73"/>
      <c r="AM178" s="74"/>
      <c r="AN178" s="75">
        <v>0.5</v>
      </c>
    </row>
    <row r="179" spans="1:40" ht="15.6" x14ac:dyDescent="0.3">
      <c r="A179" s="29">
        <v>1953</v>
      </c>
      <c r="B179" s="76">
        <v>42.759376000000003</v>
      </c>
      <c r="C179" s="82">
        <f t="shared" si="26"/>
        <v>30.824357383547785</v>
      </c>
      <c r="D179" s="73">
        <v>0.72087949514389038</v>
      </c>
      <c r="E179" s="73">
        <v>0.33749401569366455</v>
      </c>
      <c r="F179" s="73">
        <v>4.1184689849615097E-2</v>
      </c>
      <c r="G179" s="73">
        <v>4.6377010643482208E-2</v>
      </c>
      <c r="H179" s="73">
        <v>2.4768508970737457E-2</v>
      </c>
      <c r="I179" s="82">
        <f t="shared" si="28"/>
        <v>27.647619355495301</v>
      </c>
      <c r="J179" s="73">
        <f t="shared" si="29"/>
        <v>0.91421114124489444</v>
      </c>
      <c r="K179" s="74">
        <f t="shared" si="30"/>
        <v>0.91028426378365235</v>
      </c>
      <c r="L179" s="77"/>
      <c r="M179" s="77"/>
      <c r="N179" s="77"/>
      <c r="O179" s="77"/>
      <c r="P179" s="83"/>
      <c r="Q179" s="83"/>
      <c r="R179" s="87"/>
      <c r="S179" s="80"/>
      <c r="T179" s="79"/>
      <c r="U179" s="79"/>
      <c r="V179" s="79"/>
      <c r="W179" s="79"/>
      <c r="X179" s="71"/>
      <c r="Y179" s="80"/>
      <c r="Z179" s="79"/>
      <c r="AA179" s="79"/>
      <c r="AB179" s="73"/>
      <c r="AC179" s="79"/>
      <c r="AD179" s="71"/>
      <c r="AE179" s="80"/>
      <c r="AF179" s="79"/>
      <c r="AG179" s="79"/>
      <c r="AH179" s="79"/>
      <c r="AI179" s="79"/>
      <c r="AJ179" s="71"/>
      <c r="AK179" s="72">
        <v>0.79600000000000004</v>
      </c>
      <c r="AL179" s="73"/>
      <c r="AM179" s="74"/>
      <c r="AN179" s="75">
        <v>0.5</v>
      </c>
    </row>
    <row r="180" spans="1:40" ht="15.6" x14ac:dyDescent="0.3">
      <c r="A180" s="29">
        <v>1954</v>
      </c>
      <c r="B180" s="76">
        <v>42.809010000000001</v>
      </c>
      <c r="C180" s="82">
        <f t="shared" si="26"/>
        <v>30.762974537057875</v>
      </c>
      <c r="D180" s="73">
        <v>0.71860980987548828</v>
      </c>
      <c r="E180" s="73">
        <v>0.33697223663330078</v>
      </c>
      <c r="F180" s="73">
        <v>4.1201069951057434E-2</v>
      </c>
      <c r="G180" s="73">
        <v>4.6414736658334732E-2</v>
      </c>
      <c r="H180" s="73">
        <v>2.4796836078166962E-2</v>
      </c>
      <c r="I180" s="82">
        <f t="shared" si="28"/>
        <v>27.570552752387201</v>
      </c>
      <c r="J180" s="73">
        <f t="shared" si="29"/>
        <v>0.91383282784600084</v>
      </c>
      <c r="K180" s="74">
        <f t="shared" si="30"/>
        <v>0.90990594713267603</v>
      </c>
      <c r="L180" s="77"/>
      <c r="M180" s="77"/>
      <c r="N180" s="77"/>
      <c r="O180" s="77"/>
      <c r="P180" s="83"/>
      <c r="Q180" s="83"/>
      <c r="R180" s="87"/>
      <c r="S180" s="80"/>
      <c r="T180" s="79"/>
      <c r="U180" s="79"/>
      <c r="V180" s="79"/>
      <c r="W180" s="79"/>
      <c r="X180" s="71"/>
      <c r="Y180" s="80"/>
      <c r="Z180" s="79"/>
      <c r="AA180" s="79"/>
      <c r="AB180" s="73"/>
      <c r="AC180" s="79"/>
      <c r="AD180" s="71"/>
      <c r="AE180" s="80"/>
      <c r="AF180" s="79"/>
      <c r="AG180" s="79"/>
      <c r="AH180" s="79"/>
      <c r="AI180" s="79"/>
      <c r="AJ180" s="71"/>
      <c r="AK180" s="72"/>
      <c r="AL180" s="73"/>
      <c r="AM180" s="74"/>
      <c r="AN180" s="75">
        <v>0.5</v>
      </c>
    </row>
    <row r="181" spans="1:40" ht="15.6" x14ac:dyDescent="0.3">
      <c r="A181" s="29">
        <v>1955</v>
      </c>
      <c r="B181" s="76">
        <v>43.273353999999998</v>
      </c>
      <c r="C181" s="82">
        <f t="shared" si="26"/>
        <v>30.968656701486349</v>
      </c>
      <c r="D181" s="73">
        <v>0.71565186977386475</v>
      </c>
      <c r="E181" s="73">
        <v>0.33631610870361328</v>
      </c>
      <c r="F181" s="73">
        <v>4.1965842247009277E-2</v>
      </c>
      <c r="G181" s="73">
        <v>4.6642858535051346E-2</v>
      </c>
      <c r="H181" s="73">
        <v>2.497289702296257E-2</v>
      </c>
      <c r="I181" s="82">
        <f t="shared" si="28"/>
        <v>27.704310887618814</v>
      </c>
      <c r="J181" s="73">
        <f t="shared" si="29"/>
        <v>0.91263162084468519</v>
      </c>
      <c r="K181" s="74">
        <f t="shared" si="30"/>
        <v>0.90863391843292263</v>
      </c>
      <c r="L181" s="77"/>
      <c r="M181" s="77"/>
      <c r="N181" s="77"/>
      <c r="O181" s="77"/>
      <c r="P181" s="83"/>
      <c r="Q181" s="83"/>
      <c r="R181" s="87"/>
      <c r="S181" s="80"/>
      <c r="T181" s="79"/>
      <c r="U181" s="79"/>
      <c r="V181" s="79"/>
      <c r="W181" s="79"/>
      <c r="X181" s="71"/>
      <c r="Y181" s="80"/>
      <c r="Z181" s="79"/>
      <c r="AA181" s="79"/>
      <c r="AB181" s="73"/>
      <c r="AC181" s="79"/>
      <c r="AD181" s="71"/>
      <c r="AE181" s="80"/>
      <c r="AF181" s="79"/>
      <c r="AG181" s="79"/>
      <c r="AH181" s="79"/>
      <c r="AI181" s="79"/>
      <c r="AJ181" s="71"/>
      <c r="AK181" s="72"/>
      <c r="AL181" s="73"/>
      <c r="AM181" s="74"/>
      <c r="AN181" s="75">
        <v>0.5</v>
      </c>
    </row>
    <row r="182" spans="1:40" ht="15.6" x14ac:dyDescent="0.3">
      <c r="A182" s="29">
        <v>1956</v>
      </c>
      <c r="B182" s="76">
        <v>43.737810000000003</v>
      </c>
      <c r="C182" s="82">
        <f t="shared" si="26"/>
        <v>31.174296909622552</v>
      </c>
      <c r="D182" s="73">
        <v>0.71275395154953003</v>
      </c>
      <c r="E182" s="73">
        <v>0.33567366003990173</v>
      </c>
      <c r="F182" s="73">
        <v>4.2714577168226242E-2</v>
      </c>
      <c r="G182" s="73">
        <v>4.6865150332450867E-2</v>
      </c>
      <c r="H182" s="73">
        <v>2.5144994258880615E-2</v>
      </c>
      <c r="I182" s="82">
        <f t="shared" si="28"/>
        <v>27.838222008448863</v>
      </c>
      <c r="J182" s="73">
        <f t="shared" si="29"/>
        <v>0.91145601367382978</v>
      </c>
      <c r="K182" s="74">
        <f t="shared" si="30"/>
        <v>0.90738904918205388</v>
      </c>
      <c r="L182" s="82">
        <v>26.767019999999999</v>
      </c>
      <c r="M182" s="82">
        <v>22.140440000000002</v>
      </c>
      <c r="N182" s="82">
        <v>21.505552000000002</v>
      </c>
      <c r="O182" s="73">
        <f t="shared" ref="O182:O184" si="35">L182/I182</f>
        <v>0.96152045888118298</v>
      </c>
      <c r="P182" s="83">
        <f>M182/L182</f>
        <v>0.82715371378659275</v>
      </c>
      <c r="Q182" s="83">
        <f t="shared" ref="Q182:Q184" si="36">P182*O182</f>
        <v>0.79532521844535931</v>
      </c>
      <c r="R182" s="83">
        <f>(M182-N182)/M182</f>
        <v>2.867549154398016E-2</v>
      </c>
      <c r="S182" s="80"/>
      <c r="T182" s="79"/>
      <c r="U182" s="79"/>
      <c r="V182" s="79"/>
      <c r="W182" s="79"/>
      <c r="X182" s="71"/>
      <c r="Y182" s="80"/>
      <c r="Z182" s="79"/>
      <c r="AA182" s="79"/>
      <c r="AB182" s="73"/>
      <c r="AC182" s="79"/>
      <c r="AD182" s="71"/>
      <c r="AE182" s="80"/>
      <c r="AF182" s="79"/>
      <c r="AG182" s="79"/>
      <c r="AH182" s="79"/>
      <c r="AI182" s="79"/>
      <c r="AJ182" s="71"/>
      <c r="AK182" s="72"/>
      <c r="AL182" s="73"/>
      <c r="AM182" s="74"/>
      <c r="AN182" s="75">
        <v>0.5</v>
      </c>
    </row>
    <row r="183" spans="1:40" ht="15.6" x14ac:dyDescent="0.3">
      <c r="A183" s="29">
        <v>1957</v>
      </c>
      <c r="B183" s="76">
        <v>44.19782</v>
      </c>
      <c r="C183" s="82">
        <f t="shared" si="26"/>
        <v>31.376552346483468</v>
      </c>
      <c r="D183" s="73">
        <v>0.7099117636680603</v>
      </c>
      <c r="E183" s="73">
        <v>0.33504316210746765</v>
      </c>
      <c r="F183" s="73">
        <v>4.3447218835353851E-2</v>
      </c>
      <c r="G183" s="73">
        <v>4.7084156423807144E-2</v>
      </c>
      <c r="H183" s="73">
        <v>2.5314189493656158E-2</v>
      </c>
      <c r="I183" s="82">
        <f t="shared" si="28"/>
        <v>27.969291871715608</v>
      </c>
      <c r="J183" s="73">
        <f t="shared" si="29"/>
        <v>0.9103053296235688</v>
      </c>
      <c r="K183" s="74">
        <f t="shared" si="30"/>
        <v>0.90617066652479128</v>
      </c>
      <c r="L183" s="77"/>
      <c r="M183" s="77"/>
      <c r="N183" s="77"/>
      <c r="O183" s="77"/>
      <c r="P183" s="83"/>
      <c r="Q183" s="83"/>
      <c r="R183" s="87"/>
      <c r="S183" s="80"/>
      <c r="T183" s="79"/>
      <c r="U183" s="79"/>
      <c r="V183" s="79"/>
      <c r="W183" s="79"/>
      <c r="X183" s="71"/>
      <c r="Y183" s="80"/>
      <c r="Z183" s="79"/>
      <c r="AA183" s="79"/>
      <c r="AB183" s="73"/>
      <c r="AC183" s="79"/>
      <c r="AD183" s="71"/>
      <c r="AE183" s="80"/>
      <c r="AF183" s="79"/>
      <c r="AG183" s="79"/>
      <c r="AH183" s="79"/>
      <c r="AI183" s="79"/>
      <c r="AJ183" s="71"/>
      <c r="AK183" s="72"/>
      <c r="AL183" s="73"/>
      <c r="AM183" s="74"/>
      <c r="AN183" s="75">
        <v>0.5</v>
      </c>
    </row>
    <row r="184" spans="1:40" ht="15.6" x14ac:dyDescent="0.3">
      <c r="A184" s="29">
        <v>1958</v>
      </c>
      <c r="B184" s="76">
        <v>44.666482000000002</v>
      </c>
      <c r="C184" s="82">
        <f t="shared" si="26"/>
        <v>31.584884952529194</v>
      </c>
      <c r="D184" s="73">
        <v>0.70712721347808838</v>
      </c>
      <c r="E184" s="73">
        <v>0.33442580699920654</v>
      </c>
      <c r="F184" s="73">
        <v>4.4165153056383133E-2</v>
      </c>
      <c r="G184" s="73">
        <v>4.7297567129135132E-2</v>
      </c>
      <c r="H184" s="73">
        <v>2.5478076189756393E-2</v>
      </c>
      <c r="I184" s="82">
        <f t="shared" si="28"/>
        <v>28.105959289057932</v>
      </c>
      <c r="J184" s="73">
        <f t="shared" si="29"/>
        <v>0.90917851109709658</v>
      </c>
      <c r="K184" s="74">
        <f t="shared" si="30"/>
        <v>0.90497757531550471</v>
      </c>
      <c r="L184" s="82">
        <v>27.244783000000002</v>
      </c>
      <c r="M184" s="82">
        <v>21.026164999999999</v>
      </c>
      <c r="N184" s="82">
        <v>20.492372</v>
      </c>
      <c r="O184" s="73">
        <f t="shared" si="35"/>
        <v>0.96935965500408316</v>
      </c>
      <c r="P184" s="83">
        <f>M184/L184</f>
        <v>0.77175013653072577</v>
      </c>
      <c r="Q184" s="83">
        <f t="shared" si="36"/>
        <v>0.74810344609677837</v>
      </c>
      <c r="R184" s="83">
        <f>(M184-N184)/M184</f>
        <v>2.5387083188969522E-2</v>
      </c>
      <c r="S184" s="80"/>
      <c r="T184" s="79"/>
      <c r="U184" s="79"/>
      <c r="V184" s="79"/>
      <c r="W184" s="79"/>
      <c r="X184" s="71"/>
      <c r="Y184" s="80"/>
      <c r="Z184" s="79"/>
      <c r="AA184" s="79"/>
      <c r="AB184" s="73">
        <v>0.84899999999999998</v>
      </c>
      <c r="AC184" s="73">
        <v>1.2999999999999999E-2</v>
      </c>
      <c r="AD184" s="74">
        <v>0.79300000000000004</v>
      </c>
      <c r="AE184" s="80"/>
      <c r="AF184" s="79"/>
      <c r="AG184" s="79"/>
      <c r="AH184" s="79"/>
      <c r="AI184" s="79"/>
      <c r="AJ184" s="71"/>
      <c r="AK184" s="72"/>
      <c r="AL184" s="73"/>
      <c r="AM184" s="74"/>
      <c r="AN184" s="75">
        <v>0.5</v>
      </c>
    </row>
    <row r="185" spans="1:40" ht="15.6" x14ac:dyDescent="0.3">
      <c r="A185" s="29">
        <v>1959</v>
      </c>
      <c r="B185" s="76">
        <v>45.122199999999999</v>
      </c>
      <c r="C185" s="82">
        <f t="shared" si="26"/>
        <v>31.783889548909663</v>
      </c>
      <c r="D185" s="73">
        <v>0.7043958306312561</v>
      </c>
      <c r="E185" s="73">
        <v>0.33382007479667664</v>
      </c>
      <c r="F185" s="73">
        <v>4.4867783784866333E-2</v>
      </c>
      <c r="G185" s="73">
        <v>4.7507856041193008E-2</v>
      </c>
      <c r="H185" s="73">
        <v>2.5640925392508507E-2</v>
      </c>
      <c r="I185" s="82">
        <f t="shared" si="28"/>
        <v>28.234508527834542</v>
      </c>
      <c r="J185" s="73">
        <f t="shared" si="29"/>
        <v>0.90807537197986665</v>
      </c>
      <c r="K185" s="74">
        <f t="shared" si="30"/>
        <v>0.9038096453339991</v>
      </c>
      <c r="L185" s="77"/>
      <c r="M185" s="77"/>
      <c r="N185" s="77"/>
      <c r="O185" s="77"/>
      <c r="P185" s="83"/>
      <c r="Q185" s="83"/>
      <c r="R185" s="87"/>
      <c r="S185" s="80"/>
      <c r="T185" s="79"/>
      <c r="U185" s="79"/>
      <c r="V185" s="79"/>
      <c r="W185" s="79"/>
      <c r="X185" s="71"/>
      <c r="Y185" s="80"/>
      <c r="Z185" s="79"/>
      <c r="AA185" s="79"/>
      <c r="AB185" s="73"/>
      <c r="AC185" s="79"/>
      <c r="AD185" s="74"/>
      <c r="AE185" s="80"/>
      <c r="AF185" s="79"/>
      <c r="AG185" s="79"/>
      <c r="AH185" s="79"/>
      <c r="AI185" s="79"/>
      <c r="AJ185" s="71"/>
      <c r="AK185" s="72">
        <v>0.748</v>
      </c>
      <c r="AL185" s="73"/>
      <c r="AM185" s="74"/>
      <c r="AN185" s="75">
        <v>0.5</v>
      </c>
    </row>
    <row r="186" spans="1:40" ht="15.6" x14ac:dyDescent="0.3">
      <c r="A186" s="29">
        <v>1960</v>
      </c>
      <c r="B186" s="76">
        <v>45.586519000000003</v>
      </c>
      <c r="C186" s="82">
        <f t="shared" si="26"/>
        <v>31.988844374469462</v>
      </c>
      <c r="D186" s="73">
        <v>0.70171719789505005</v>
      </c>
      <c r="E186" s="73">
        <v>0.33322608470916748</v>
      </c>
      <c r="F186" s="73">
        <v>4.4910836964845657E-2</v>
      </c>
      <c r="G186" s="73">
        <v>4.7712612897157669E-2</v>
      </c>
      <c r="H186" s="73">
        <v>2.579929307103157E-2</v>
      </c>
      <c r="I186" s="82">
        <f t="shared" si="28"/>
        <v>28.387699987186789</v>
      </c>
      <c r="J186" s="73">
        <f t="shared" si="29"/>
        <v>0.90760805106678821</v>
      </c>
      <c r="K186" s="74">
        <f t="shared" si="30"/>
        <v>0.90334023620854953</v>
      </c>
      <c r="L186" s="77"/>
      <c r="M186" s="77"/>
      <c r="N186" s="77"/>
      <c r="O186" s="77"/>
      <c r="P186" s="83"/>
      <c r="Q186" s="83"/>
      <c r="R186" s="87"/>
      <c r="S186" s="80"/>
      <c r="T186" s="79"/>
      <c r="U186" s="79"/>
      <c r="V186" s="79"/>
      <c r="W186" s="79"/>
      <c r="X186" s="71"/>
      <c r="Y186" s="80"/>
      <c r="Z186" s="79"/>
      <c r="AA186" s="79"/>
      <c r="AB186" s="73"/>
      <c r="AC186" s="79"/>
      <c r="AD186" s="74"/>
      <c r="AE186" s="80"/>
      <c r="AF186" s="79"/>
      <c r="AG186" s="79"/>
      <c r="AH186" s="79"/>
      <c r="AI186" s="79"/>
      <c r="AJ186" s="71"/>
      <c r="AK186" s="72"/>
      <c r="AL186" s="73"/>
      <c r="AM186" s="74"/>
      <c r="AN186" s="75">
        <v>0.5</v>
      </c>
    </row>
    <row r="187" spans="1:40" ht="15.6" x14ac:dyDescent="0.3">
      <c r="A187" s="29">
        <v>1961</v>
      </c>
      <c r="B187" s="76">
        <v>46.046666000000002</v>
      </c>
      <c r="C187" s="82">
        <f t="shared" si="26"/>
        <v>32.292989108322857</v>
      </c>
      <c r="D187" s="73">
        <v>0.70131003856658936</v>
      </c>
      <c r="E187" s="73">
        <v>0.33329111337661743</v>
      </c>
      <c r="F187" s="73">
        <v>4.5937236398458481E-2</v>
      </c>
      <c r="G187" s="73">
        <v>4.7914065420627594E-2</v>
      </c>
      <c r="H187" s="73">
        <v>2.595510333776474E-2</v>
      </c>
      <c r="I187" s="82">
        <f t="shared" si="28"/>
        <v>28.622559936148292</v>
      </c>
      <c r="J187" s="73">
        <f t="shared" si="29"/>
        <v>0.90656793525734192</v>
      </c>
      <c r="K187" s="74">
        <f t="shared" si="30"/>
        <v>0.90220289480696625</v>
      </c>
      <c r="L187" s="77"/>
      <c r="M187" s="77"/>
      <c r="N187" s="77"/>
      <c r="O187" s="77"/>
      <c r="P187" s="83"/>
      <c r="Q187" s="83"/>
      <c r="R187" s="87"/>
      <c r="S187" s="80"/>
      <c r="T187" s="79"/>
      <c r="U187" s="79"/>
      <c r="V187" s="79"/>
      <c r="W187" s="79"/>
      <c r="X187" s="71"/>
      <c r="Y187" s="80"/>
      <c r="Z187" s="79"/>
      <c r="AA187" s="79"/>
      <c r="AB187" s="73">
        <v>0.76500000000000001</v>
      </c>
      <c r="AC187" s="73">
        <v>2.9000000000000001E-2</v>
      </c>
      <c r="AD187" s="74">
        <v>0.753</v>
      </c>
      <c r="AE187" s="80"/>
      <c r="AF187" s="79"/>
      <c r="AG187" s="79"/>
      <c r="AH187" s="79"/>
      <c r="AI187" s="79"/>
      <c r="AJ187" s="71"/>
      <c r="AK187" s="72"/>
      <c r="AL187" s="73"/>
      <c r="AM187" s="74"/>
      <c r="AN187" s="75">
        <v>0.5</v>
      </c>
    </row>
    <row r="188" spans="1:40" ht="15.6" x14ac:dyDescent="0.3">
      <c r="A188" s="29">
        <v>1962</v>
      </c>
      <c r="B188" s="76">
        <v>46.506590000000003</v>
      </c>
      <c r="C188" s="82">
        <f t="shared" si="26"/>
        <v>32.591907051679492</v>
      </c>
      <c r="D188" s="73">
        <v>0.70080190896987915</v>
      </c>
      <c r="E188" s="73">
        <v>0.3332805335521698</v>
      </c>
      <c r="F188" s="73">
        <v>4.6892654150724411E-2</v>
      </c>
      <c r="G188" s="73">
        <v>4.8111073672771454E-2</v>
      </c>
      <c r="H188" s="73">
        <v>2.6107547804713249E-2</v>
      </c>
      <c r="I188" s="82">
        <f t="shared" si="28"/>
        <v>28.853221603991209</v>
      </c>
      <c r="J188" s="73">
        <f t="shared" si="29"/>
        <v>0.90557936277846085</v>
      </c>
      <c r="K188" s="74">
        <f t="shared" si="30"/>
        <v>0.901123933906809</v>
      </c>
      <c r="L188" s="82">
        <v>27.541236999999999</v>
      </c>
      <c r="M188" s="82">
        <v>18.918530000000001</v>
      </c>
      <c r="N188" s="82">
        <v>18.333791000000002</v>
      </c>
      <c r="O188" s="73">
        <f t="shared" ref="O188" si="37">L188/I188</f>
        <v>0.95452900816421393</v>
      </c>
      <c r="P188" s="83">
        <f>M188/L188</f>
        <v>0.68691649543555366</v>
      </c>
      <c r="Q188" s="83">
        <f t="shared" ref="Q188" si="38">P188*O188</f>
        <v>0.65568172107973688</v>
      </c>
      <c r="R188" s="83">
        <f>(M188-N188)/M188</f>
        <v>3.0908268242828538E-2</v>
      </c>
      <c r="S188" s="80"/>
      <c r="T188" s="79"/>
      <c r="U188" s="79"/>
      <c r="V188" s="79"/>
      <c r="W188" s="79"/>
      <c r="X188" s="71"/>
      <c r="Y188" s="80"/>
      <c r="Z188" s="79"/>
      <c r="AA188" s="79"/>
      <c r="AB188" s="73">
        <v>0.75600000000000001</v>
      </c>
      <c r="AC188" s="73">
        <v>5.3999999999999999E-2</v>
      </c>
      <c r="AD188" s="74">
        <v>0.90700000000000003</v>
      </c>
      <c r="AE188" s="80"/>
      <c r="AF188" s="79"/>
      <c r="AG188" s="79"/>
      <c r="AH188" s="79"/>
      <c r="AI188" s="79"/>
      <c r="AJ188" s="71"/>
      <c r="AK188" s="72"/>
      <c r="AL188" s="73"/>
      <c r="AM188" s="74"/>
      <c r="AN188" s="75">
        <v>0.5</v>
      </c>
    </row>
    <row r="189" spans="1:40" ht="15.6" x14ac:dyDescent="0.3">
      <c r="A189" s="29">
        <v>1963</v>
      </c>
      <c r="B189" s="76">
        <v>47.055846000000003</v>
      </c>
      <c r="C189" s="82">
        <f t="shared" si="26"/>
        <v>32.960839647175675</v>
      </c>
      <c r="D189" s="73">
        <v>0.70046216249465942</v>
      </c>
      <c r="E189" s="73">
        <v>0.33337810635566711</v>
      </c>
      <c r="F189" s="73">
        <v>4.8139374703168869E-2</v>
      </c>
      <c r="G189" s="73">
        <v>4.807039350271225E-2</v>
      </c>
      <c r="H189" s="73">
        <v>2.6425367221236229E-2</v>
      </c>
      <c r="I189" s="82">
        <f t="shared" si="28"/>
        <v>29.13804517677552</v>
      </c>
      <c r="J189" s="73">
        <f t="shared" si="29"/>
        <v>0.90434091307884878</v>
      </c>
      <c r="K189" s="74">
        <f t="shared" si="30"/>
        <v>0.89976730167848928</v>
      </c>
      <c r="L189" s="77"/>
      <c r="M189" s="77"/>
      <c r="N189" s="77"/>
      <c r="O189" s="77"/>
      <c r="P189" s="83"/>
      <c r="Q189" s="83"/>
      <c r="R189" s="87"/>
      <c r="S189" s="80"/>
      <c r="T189" s="79"/>
      <c r="U189" s="79"/>
      <c r="V189" s="79"/>
      <c r="W189" s="79"/>
      <c r="X189" s="71"/>
      <c r="Y189" s="80"/>
      <c r="Z189" s="79"/>
      <c r="AA189" s="79"/>
      <c r="AB189" s="73">
        <v>0.77200000000000002</v>
      </c>
      <c r="AC189" s="73">
        <v>2.5999999999999999E-2</v>
      </c>
      <c r="AD189" s="74">
        <v>0.61799999999999999</v>
      </c>
      <c r="AE189" s="80"/>
      <c r="AF189" s="79"/>
      <c r="AG189" s="79"/>
      <c r="AH189" s="79"/>
      <c r="AI189" s="79"/>
      <c r="AJ189" s="71"/>
      <c r="AK189" s="72"/>
      <c r="AL189" s="73"/>
      <c r="AM189" s="74"/>
      <c r="AN189" s="75">
        <v>0.5</v>
      </c>
    </row>
    <row r="190" spans="1:40" ht="15.6" x14ac:dyDescent="0.3">
      <c r="A190" s="29">
        <v>1964</v>
      </c>
      <c r="B190" s="76">
        <v>47.599451000000002</v>
      </c>
      <c r="C190" s="82">
        <f t="shared" si="26"/>
        <v>33.321845131187857</v>
      </c>
      <c r="D190" s="73">
        <v>0.7000468373298645</v>
      </c>
      <c r="E190" s="73">
        <v>0.33340787887573242</v>
      </c>
      <c r="F190" s="73">
        <v>4.9190156161785126E-2</v>
      </c>
      <c r="G190" s="73">
        <v>4.8030491918325424E-2</v>
      </c>
      <c r="H190" s="73">
        <v>2.673591673374176E-2</v>
      </c>
      <c r="I190" s="82">
        <f t="shared" si="28"/>
        <v>29.42019033116776</v>
      </c>
      <c r="J190" s="73">
        <f t="shared" si="29"/>
        <v>0.90327677387868643</v>
      </c>
      <c r="K190" s="74">
        <f t="shared" si="30"/>
        <v>0.89860367064439073</v>
      </c>
      <c r="L190" s="77"/>
      <c r="M190" s="77"/>
      <c r="N190" s="77"/>
      <c r="O190" s="77"/>
      <c r="P190" s="83"/>
      <c r="Q190" s="83"/>
      <c r="R190" s="87"/>
      <c r="S190" s="80"/>
      <c r="T190" s="79"/>
      <c r="U190" s="79"/>
      <c r="V190" s="79"/>
      <c r="W190" s="79"/>
      <c r="X190" s="71"/>
      <c r="Y190" s="80"/>
      <c r="Z190" s="79"/>
      <c r="AA190" s="79"/>
      <c r="AB190" s="73"/>
      <c r="AC190" s="79"/>
      <c r="AD190" s="71"/>
      <c r="AE190" s="80"/>
      <c r="AF190" s="79"/>
      <c r="AG190" s="79"/>
      <c r="AH190" s="79"/>
      <c r="AI190" s="79"/>
      <c r="AJ190" s="71"/>
      <c r="AK190" s="72"/>
      <c r="AL190" s="73"/>
      <c r="AM190" s="74"/>
      <c r="AN190" s="75">
        <v>0.5</v>
      </c>
    </row>
    <row r="191" spans="1:40" ht="15.6" x14ac:dyDescent="0.3">
      <c r="A191" s="29">
        <v>1965</v>
      </c>
      <c r="B191" s="76">
        <v>48.154411000000003</v>
      </c>
      <c r="C191" s="82">
        <f t="shared" si="26"/>
        <v>33.691029369496583</v>
      </c>
      <c r="D191" s="73">
        <v>0.6996457576751709</v>
      </c>
      <c r="E191" s="73">
        <v>0.33347654342651367</v>
      </c>
      <c r="F191" s="73">
        <v>5.0401464104652405E-2</v>
      </c>
      <c r="G191" s="73">
        <v>4.7991305589675903E-2</v>
      </c>
      <c r="H191" s="73">
        <v>2.7038831263780594E-2</v>
      </c>
      <c r="I191" s="82">
        <f t="shared" si="28"/>
        <v>29.703884492010825</v>
      </c>
      <c r="J191" s="73">
        <f t="shared" si="29"/>
        <v>0.90206254443507849</v>
      </c>
      <c r="K191" s="74">
        <f t="shared" si="30"/>
        <v>0.89727470291733358</v>
      </c>
      <c r="L191" s="77"/>
      <c r="M191" s="77"/>
      <c r="N191" s="77"/>
      <c r="O191" s="77"/>
      <c r="P191" s="83"/>
      <c r="Q191" s="83"/>
      <c r="R191" s="87"/>
      <c r="S191" s="76">
        <v>28.230627999999999</v>
      </c>
      <c r="T191" s="82">
        <v>24.001037</v>
      </c>
      <c r="U191" s="82">
        <v>23.757598000000002</v>
      </c>
      <c r="V191" s="73">
        <f>T191/S191</f>
        <v>0.85017722595473255</v>
      </c>
      <c r="W191" s="83">
        <f>V191*S191/I191</f>
        <v>0.80801004348287619</v>
      </c>
      <c r="X191" s="74">
        <f>(T191-U191)/T191</f>
        <v>1.0142853410875481E-2</v>
      </c>
      <c r="Y191" s="80"/>
      <c r="Z191" s="79"/>
      <c r="AA191" s="79"/>
      <c r="AB191" s="73"/>
      <c r="AC191" s="79"/>
      <c r="AD191" s="71"/>
      <c r="AE191" s="80"/>
      <c r="AF191" s="79"/>
      <c r="AG191" s="79"/>
      <c r="AH191" s="79"/>
      <c r="AI191" s="79"/>
      <c r="AJ191" s="71"/>
      <c r="AK191" s="72">
        <v>0.78200000000000003</v>
      </c>
      <c r="AL191" s="73"/>
      <c r="AM191" s="74"/>
      <c r="AN191" s="75">
        <v>0.5</v>
      </c>
    </row>
    <row r="192" spans="1:40" ht="15.6" x14ac:dyDescent="0.3">
      <c r="A192" s="29">
        <v>1966</v>
      </c>
      <c r="B192" s="76">
        <v>48.691901999999999</v>
      </c>
      <c r="C192" s="82">
        <f t="shared" si="26"/>
        <v>34.04777971274936</v>
      </c>
      <c r="D192" s="73">
        <v>0.69924932718276978</v>
      </c>
      <c r="E192" s="73">
        <v>0.33349305391311646</v>
      </c>
      <c r="F192" s="73">
        <v>5.1298059523105621E-2</v>
      </c>
      <c r="G192" s="73">
        <v>4.7953683882951736E-2</v>
      </c>
      <c r="H192" s="73">
        <v>2.7337174862623215E-2</v>
      </c>
      <c r="I192" s="82">
        <f t="shared" si="28"/>
        <v>29.985710143999217</v>
      </c>
      <c r="J192" s="73">
        <f t="shared" si="29"/>
        <v>0.90114814932665466</v>
      </c>
      <c r="K192" s="74">
        <f t="shared" si="30"/>
        <v>0.89627547547294062</v>
      </c>
      <c r="L192" s="77"/>
      <c r="M192" s="77"/>
      <c r="N192" s="77"/>
      <c r="O192" s="77"/>
      <c r="P192" s="83"/>
      <c r="Q192" s="83"/>
      <c r="R192" s="87"/>
      <c r="S192" s="80"/>
      <c r="T192" s="79"/>
      <c r="U192" s="79"/>
      <c r="V192" s="79"/>
      <c r="W192" s="79"/>
      <c r="X192" s="71"/>
      <c r="Y192" s="80"/>
      <c r="Z192" s="79"/>
      <c r="AA192" s="79"/>
      <c r="AB192" s="73"/>
      <c r="AC192" s="79"/>
      <c r="AD192" s="71"/>
      <c r="AE192" s="80"/>
      <c r="AF192" s="79"/>
      <c r="AG192" s="79"/>
      <c r="AH192" s="79"/>
      <c r="AI192" s="79"/>
      <c r="AJ192" s="71"/>
      <c r="AK192" s="72"/>
      <c r="AL192" s="73"/>
      <c r="AM192" s="74"/>
      <c r="AN192" s="75">
        <v>0.5</v>
      </c>
    </row>
    <row r="193" spans="1:40" ht="15.6" x14ac:dyDescent="0.3">
      <c r="A193" s="29">
        <v>1967</v>
      </c>
      <c r="B193" s="76">
        <v>49.241303000000002</v>
      </c>
      <c r="C193" s="82">
        <f t="shared" si="26"/>
        <v>34.412779439602971</v>
      </c>
      <c r="D193" s="73">
        <v>0.6988600492477417</v>
      </c>
      <c r="E193" s="73">
        <v>0.33353745937347412</v>
      </c>
      <c r="F193" s="73">
        <v>5.2356526255607605E-2</v>
      </c>
      <c r="G193" s="73">
        <v>4.7916360199451447E-2</v>
      </c>
      <c r="H193" s="73">
        <v>2.7626706287264824E-2</v>
      </c>
      <c r="I193" s="82">
        <f t="shared" si="28"/>
        <v>30.269020253132428</v>
      </c>
      <c r="J193" s="73">
        <f t="shared" si="29"/>
        <v>0.9000812555753781</v>
      </c>
      <c r="K193" s="74">
        <f t="shared" si="30"/>
        <v>0.89510838031212026</v>
      </c>
      <c r="L193" s="82">
        <v>28.236673</v>
      </c>
      <c r="M193" s="82">
        <v>22.903224000000002</v>
      </c>
      <c r="N193" s="82">
        <v>22.389513999999998</v>
      </c>
      <c r="O193" s="73">
        <f t="shared" ref="O193:O194" si="39">L193/I193</f>
        <v>0.93285718413954588</v>
      </c>
      <c r="P193" s="83">
        <f>M193/L193</f>
        <v>0.81111623880051309</v>
      </c>
      <c r="Q193" s="83">
        <f t="shared" ref="Q193:Q194" si="40">P193*O193</f>
        <v>0.75665561053730612</v>
      </c>
      <c r="R193" s="83">
        <f>(M193-N193)/M193</f>
        <v>2.2429593318390596E-2</v>
      </c>
      <c r="S193" s="80"/>
      <c r="T193" s="79"/>
      <c r="U193" s="79"/>
      <c r="V193" s="79"/>
      <c r="W193" s="79"/>
      <c r="X193" s="71"/>
      <c r="Y193" s="80"/>
      <c r="Z193" s="79"/>
      <c r="AA193" s="79"/>
      <c r="AB193" s="73"/>
      <c r="AC193" s="79"/>
      <c r="AD193" s="71"/>
      <c r="AE193" s="80"/>
      <c r="AF193" s="79"/>
      <c r="AG193" s="79"/>
      <c r="AH193" s="79"/>
      <c r="AI193" s="79"/>
      <c r="AJ193" s="71"/>
      <c r="AK193" s="72"/>
      <c r="AL193" s="73"/>
      <c r="AM193" s="74"/>
      <c r="AN193" s="75">
        <v>0.5</v>
      </c>
    </row>
    <row r="194" spans="1:40" ht="15.6" x14ac:dyDescent="0.3">
      <c r="A194" s="29">
        <v>1968</v>
      </c>
      <c r="B194" s="76">
        <v>49.784762999999998</v>
      </c>
      <c r="C194" s="82">
        <f t="shared" si="26"/>
        <v>34.777234513062353</v>
      </c>
      <c r="D194" s="73">
        <v>0.69855177402496338</v>
      </c>
      <c r="E194" s="73">
        <v>0.33361044526100159</v>
      </c>
      <c r="F194" s="73">
        <v>5.3324837237596512E-2</v>
      </c>
      <c r="G194" s="73">
        <v>4.7880090773105621E-2</v>
      </c>
      <c r="H194" s="73">
        <v>2.7910970151424408E-2</v>
      </c>
      <c r="I194" s="82">
        <f t="shared" si="28"/>
        <v>30.554868397574062</v>
      </c>
      <c r="J194" s="73">
        <f t="shared" si="29"/>
        <v>0.89911290469751082</v>
      </c>
      <c r="K194" s="74">
        <f t="shared" si="30"/>
        <v>0.89404833226684588</v>
      </c>
      <c r="L194" s="82">
        <v>28.176439999999999</v>
      </c>
      <c r="M194" s="82">
        <v>22.530290999999998</v>
      </c>
      <c r="N194" s="82">
        <v>22.147213000000001</v>
      </c>
      <c r="O194" s="73">
        <f t="shared" si="39"/>
        <v>0.92215877461403495</v>
      </c>
      <c r="P194" s="83">
        <f>M194/L194</f>
        <v>0.79961453611598909</v>
      </c>
      <c r="Q194" s="83">
        <f t="shared" si="40"/>
        <v>0.73737156078829047</v>
      </c>
      <c r="R194" s="83">
        <f>(M194-N194)/M194</f>
        <v>1.7002798587909831E-2</v>
      </c>
      <c r="S194" s="80"/>
      <c r="T194" s="79"/>
      <c r="U194" s="79"/>
      <c r="V194" s="79"/>
      <c r="W194" s="79"/>
      <c r="X194" s="71"/>
      <c r="Y194" s="80"/>
      <c r="Z194" s="79"/>
      <c r="AA194" s="79"/>
      <c r="AB194" s="73"/>
      <c r="AC194" s="79"/>
      <c r="AD194" s="71"/>
      <c r="AE194" s="80"/>
      <c r="AF194" s="79"/>
      <c r="AG194" s="79"/>
      <c r="AH194" s="79"/>
      <c r="AI194" s="79"/>
      <c r="AJ194" s="71"/>
      <c r="AK194" s="72"/>
      <c r="AL194" s="73"/>
      <c r="AM194" s="74"/>
      <c r="AN194" s="75">
        <v>0.5</v>
      </c>
    </row>
    <row r="195" spans="1:40" ht="15.6" x14ac:dyDescent="0.3">
      <c r="A195" s="29">
        <v>1969</v>
      </c>
      <c r="B195" s="76">
        <v>50.193891999999998</v>
      </c>
      <c r="C195" s="82">
        <f t="shared" si="26"/>
        <v>35.172373218148472</v>
      </c>
      <c r="D195" s="73">
        <v>0.70073014497756958</v>
      </c>
      <c r="E195" s="73">
        <v>0.33491340279579163</v>
      </c>
      <c r="F195" s="73">
        <v>5.5562175810337067E-2</v>
      </c>
      <c r="G195" s="73">
        <v>4.7888416796922684E-2</v>
      </c>
      <c r="H195" s="73">
        <v>2.8196020051836967E-2</v>
      </c>
      <c r="I195" s="82">
        <f t="shared" si="28"/>
        <v>30.853637881342237</v>
      </c>
      <c r="J195" s="73">
        <f t="shared" si="29"/>
        <v>0.89733086240250626</v>
      </c>
      <c r="K195" s="74">
        <f t="shared" si="30"/>
        <v>0.89205177955979742</v>
      </c>
      <c r="L195" s="77"/>
      <c r="M195" s="77"/>
      <c r="N195" s="77"/>
      <c r="O195" s="77"/>
      <c r="P195" s="83"/>
      <c r="Q195" s="83"/>
      <c r="R195" s="87"/>
      <c r="S195" s="76">
        <v>28.752312</v>
      </c>
      <c r="T195" s="82">
        <v>22.494171000000001</v>
      </c>
      <c r="U195" s="82">
        <v>22.196842</v>
      </c>
      <c r="V195" s="73">
        <f>T195/S195</f>
        <v>0.78234303384020043</v>
      </c>
      <c r="W195" s="83">
        <f>V195*S195/I195</f>
        <v>0.72906057582281536</v>
      </c>
      <c r="X195" s="74">
        <f>(T195-U195)/T195</f>
        <v>1.3218046577488953E-2</v>
      </c>
      <c r="Y195" s="80"/>
      <c r="Z195" s="79"/>
      <c r="AA195" s="79"/>
      <c r="AB195" s="73">
        <v>0.80600000000000005</v>
      </c>
      <c r="AC195" s="73">
        <v>2.8000000000000001E-2</v>
      </c>
      <c r="AD195" s="74">
        <v>0.46800000000000003</v>
      </c>
      <c r="AE195" s="80"/>
      <c r="AF195" s="79"/>
      <c r="AG195" s="79"/>
      <c r="AH195" s="79"/>
      <c r="AI195" s="79"/>
      <c r="AJ195" s="71"/>
      <c r="AK195" s="72"/>
      <c r="AL195" s="73"/>
      <c r="AM195" s="74"/>
      <c r="AN195" s="75">
        <v>0.5</v>
      </c>
    </row>
    <row r="196" spans="1:40" ht="15.6" x14ac:dyDescent="0.3">
      <c r="A196" s="29">
        <v>1970</v>
      </c>
      <c r="B196" s="76">
        <v>50.603001999999996</v>
      </c>
      <c r="C196" s="82">
        <f t="shared" si="26"/>
        <v>35.554170005898236</v>
      </c>
      <c r="D196" s="73">
        <v>0.70260989665985107</v>
      </c>
      <c r="E196" s="73">
        <v>0.3361467719078064</v>
      </c>
      <c r="F196" s="73">
        <v>5.7083860039710999E-2</v>
      </c>
      <c r="G196" s="73">
        <v>4.7896288335323334E-2</v>
      </c>
      <c r="H196" s="73">
        <v>2.8476176783442497E-2</v>
      </c>
      <c r="I196" s="82">
        <f t="shared" si="28"/>
        <v>31.159636312321894</v>
      </c>
      <c r="J196" s="73">
        <f t="shared" si="29"/>
        <v>0.89618048524297489</v>
      </c>
      <c r="K196" s="74">
        <f t="shared" si="30"/>
        <v>0.89075503548960822</v>
      </c>
      <c r="L196" s="77"/>
      <c r="M196" s="77"/>
      <c r="N196" s="77"/>
      <c r="O196" s="77"/>
      <c r="P196" s="83"/>
      <c r="Q196" s="83"/>
      <c r="R196" s="87"/>
      <c r="S196" s="80"/>
      <c r="T196" s="79"/>
      <c r="U196" s="79"/>
      <c r="V196" s="79"/>
      <c r="W196" s="79"/>
      <c r="X196" s="71"/>
      <c r="Y196" s="80"/>
      <c r="Z196" s="79"/>
      <c r="AA196" s="79"/>
      <c r="AB196" s="73"/>
      <c r="AC196" s="79"/>
      <c r="AD196" s="74"/>
      <c r="AE196" s="80"/>
      <c r="AF196" s="79"/>
      <c r="AG196" s="79"/>
      <c r="AH196" s="79"/>
      <c r="AI196" s="79"/>
      <c r="AJ196" s="71"/>
      <c r="AK196" s="72"/>
      <c r="AL196" s="73"/>
      <c r="AM196" s="74"/>
      <c r="AN196" s="75">
        <v>0.5</v>
      </c>
    </row>
    <row r="197" spans="1:40" ht="15.6" x14ac:dyDescent="0.3">
      <c r="A197" s="29">
        <v>1971</v>
      </c>
      <c r="B197" s="76">
        <v>51.012130999999997</v>
      </c>
      <c r="C197" s="82">
        <f t="shared" si="26"/>
        <v>35.936143896276533</v>
      </c>
      <c r="D197" s="73">
        <v>0.70446270704269409</v>
      </c>
      <c r="E197" s="73">
        <v>0.33736398816108704</v>
      </c>
      <c r="F197" s="73">
        <v>5.8579493314027786E-2</v>
      </c>
      <c r="G197" s="73">
        <v>4.7904349863529205E-2</v>
      </c>
      <c r="H197" s="73">
        <v>2.8752122074365616E-2</v>
      </c>
      <c r="I197" s="82">
        <f t="shared" si="28"/>
        <v>31.465548892176233</v>
      </c>
      <c r="J197" s="73">
        <f t="shared" si="29"/>
        <v>0.89504969533922762</v>
      </c>
      <c r="K197" s="74">
        <f t="shared" si="30"/>
        <v>0.88948028642243882</v>
      </c>
      <c r="L197" s="77"/>
      <c r="M197" s="77"/>
      <c r="N197" s="77"/>
      <c r="O197" s="77"/>
      <c r="P197" s="83"/>
      <c r="Q197" s="83"/>
      <c r="R197" s="87"/>
      <c r="S197" s="80"/>
      <c r="T197" s="79"/>
      <c r="U197" s="79"/>
      <c r="V197" s="79"/>
      <c r="W197" s="79"/>
      <c r="X197" s="71"/>
      <c r="Y197" s="80"/>
      <c r="Z197" s="79"/>
      <c r="AA197" s="79"/>
      <c r="AB197" s="73"/>
      <c r="AC197" s="79"/>
      <c r="AD197" s="74"/>
      <c r="AE197" s="80"/>
      <c r="AF197" s="79"/>
      <c r="AG197" s="79"/>
      <c r="AH197" s="79"/>
      <c r="AI197" s="79"/>
      <c r="AJ197" s="71"/>
      <c r="AK197" s="72">
        <v>0.752</v>
      </c>
      <c r="AL197" s="73"/>
      <c r="AM197" s="74"/>
      <c r="AN197" s="75">
        <v>0.5</v>
      </c>
    </row>
    <row r="198" spans="1:40" ht="15.6" x14ac:dyDescent="0.3">
      <c r="A198" s="29">
        <v>1972</v>
      </c>
      <c r="B198" s="76">
        <v>51.421470999999997</v>
      </c>
      <c r="C198" s="82">
        <f t="shared" si="26"/>
        <v>36.317640490146815</v>
      </c>
      <c r="D198" s="73">
        <v>0.70627385377883911</v>
      </c>
      <c r="E198" s="73">
        <v>0.3385549783706665</v>
      </c>
      <c r="F198" s="73">
        <v>6.0007929801940918E-2</v>
      </c>
      <c r="G198" s="73">
        <v>4.7911874949932098E-2</v>
      </c>
      <c r="H198" s="73">
        <v>2.9023440554738045E-2</v>
      </c>
      <c r="I198" s="82">
        <f t="shared" si="28"/>
        <v>31.772047250895703</v>
      </c>
      <c r="J198" s="73">
        <f t="shared" si="29"/>
        <v>0.89397536215510454</v>
      </c>
      <c r="K198" s="74">
        <f t="shared" si="30"/>
        <v>0.88826833414096773</v>
      </c>
      <c r="L198" s="77"/>
      <c r="M198" s="77"/>
      <c r="N198" s="77"/>
      <c r="O198" s="77"/>
      <c r="P198" s="83"/>
      <c r="Q198" s="83"/>
      <c r="R198" s="87"/>
      <c r="S198" s="80"/>
      <c r="T198" s="79"/>
      <c r="U198" s="79"/>
      <c r="V198" s="79"/>
      <c r="W198" s="79"/>
      <c r="X198" s="71"/>
      <c r="Y198" s="80"/>
      <c r="Z198" s="79"/>
      <c r="AA198" s="79"/>
      <c r="AB198" s="73">
        <v>0.60499999999999998</v>
      </c>
      <c r="AC198" s="73">
        <v>0.11799999999999999</v>
      </c>
      <c r="AD198" s="74">
        <v>0.67700000000000005</v>
      </c>
      <c r="AE198" s="80"/>
      <c r="AF198" s="79"/>
      <c r="AG198" s="79"/>
      <c r="AH198" s="79"/>
      <c r="AI198" s="79"/>
      <c r="AJ198" s="71"/>
      <c r="AK198" s="72"/>
      <c r="AL198" s="73"/>
      <c r="AM198" s="74"/>
      <c r="AN198" s="75">
        <v>0.5</v>
      </c>
    </row>
    <row r="199" spans="1:40" ht="15.6" x14ac:dyDescent="0.3">
      <c r="A199" s="29">
        <v>1973</v>
      </c>
      <c r="B199" s="76">
        <v>51.830599999999997</v>
      </c>
      <c r="C199" s="82">
        <f t="shared" si="26"/>
        <v>36.699083312010764</v>
      </c>
      <c r="D199" s="73">
        <v>0.70805823802947998</v>
      </c>
      <c r="E199" s="73">
        <v>0.3397272527217865</v>
      </c>
      <c r="F199" s="73">
        <v>6.1438083648681641E-2</v>
      </c>
      <c r="G199" s="73">
        <v>4.7919683158397675E-2</v>
      </c>
      <c r="H199" s="73">
        <v>2.9290707781910896E-2</v>
      </c>
      <c r="I199" s="82">
        <f>(1-F199)*(1-(1+3/18)*(1-D199))*B199</f>
        <v>32.077384411660653</v>
      </c>
      <c r="J199" s="73">
        <f t="shared" si="29"/>
        <v>0.89289434642164633</v>
      </c>
      <c r="K199" s="74">
        <f t="shared" si="30"/>
        <v>0.88704947709665305</v>
      </c>
      <c r="L199" s="82">
        <v>29.883702</v>
      </c>
      <c r="M199" s="82">
        <v>24.291910999999999</v>
      </c>
      <c r="N199" s="82">
        <v>23.751949</v>
      </c>
      <c r="O199" s="73">
        <f t="shared" ref="O199" si="41">L199/I199</f>
        <v>0.93161280285486081</v>
      </c>
      <c r="P199" s="83">
        <f>M199/L199</f>
        <v>0.81288158341292516</v>
      </c>
      <c r="Q199" s="83">
        <f t="shared" ref="Q199" si="42">P199*O199</f>
        <v>0.75729089031241259</v>
      </c>
      <c r="R199" s="83">
        <f>(M199-N199)/M199</f>
        <v>2.2228057726705781E-2</v>
      </c>
      <c r="S199" s="80"/>
      <c r="T199" s="79"/>
      <c r="U199" s="79"/>
      <c r="V199" s="79"/>
      <c r="W199" s="79"/>
      <c r="X199" s="71"/>
      <c r="Y199" s="80"/>
      <c r="Z199" s="79"/>
      <c r="AA199" s="79"/>
      <c r="AB199" s="73"/>
      <c r="AC199" s="79"/>
      <c r="AD199" s="74"/>
      <c r="AE199" s="80"/>
      <c r="AF199" s="79"/>
      <c r="AG199" s="79"/>
      <c r="AH199" s="79"/>
      <c r="AI199" s="79"/>
      <c r="AJ199" s="71"/>
      <c r="AK199" s="72"/>
      <c r="AL199" s="73"/>
      <c r="AM199" s="74"/>
      <c r="AN199" s="75">
        <v>0.5</v>
      </c>
    </row>
    <row r="200" spans="1:40" ht="15.6" x14ac:dyDescent="0.3">
      <c r="A200" s="29">
        <v>1974</v>
      </c>
      <c r="B200" s="76">
        <v>52.239710000000002</v>
      </c>
      <c r="C200" s="82">
        <f t="shared" si="26"/>
        <v>37.079811805378796</v>
      </c>
      <c r="D200" s="73">
        <v>0.70980125665664673</v>
      </c>
      <c r="E200" s="73">
        <v>0.34087085723876953</v>
      </c>
      <c r="F200" s="73">
        <v>6.2828809022903442E-2</v>
      </c>
      <c r="G200" s="73">
        <v>4.7927066683769226E-2</v>
      </c>
      <c r="H200" s="73">
        <v>2.955351397395134E-2</v>
      </c>
      <c r="I200" s="82">
        <f>(1-F200)*(1-(1+3/18)*(1-D200))*B200</f>
        <v>32.382228083162673</v>
      </c>
      <c r="J200" s="73">
        <f>(1-F200)*(1-(3/18)*(1-D200))</f>
        <v>0.8918435406572387</v>
      </c>
      <c r="K200" s="74">
        <f>(1-1.1*F200)*(1-(3/18)*(1-D200))</f>
        <v>0.88586454044535179</v>
      </c>
      <c r="L200" s="77"/>
      <c r="M200" s="77"/>
      <c r="N200" s="77"/>
      <c r="O200" s="77"/>
      <c r="P200" s="83"/>
      <c r="Q200" s="83"/>
      <c r="R200" s="87"/>
      <c r="S200" s="76">
        <v>29.78398</v>
      </c>
      <c r="T200" s="82">
        <v>25.285889999999998</v>
      </c>
      <c r="U200" s="82">
        <v>25.056735</v>
      </c>
      <c r="V200" s="73">
        <f>T200/S200</f>
        <v>0.84897619458514273</v>
      </c>
      <c r="W200" s="83">
        <f>V200*S200/I200</f>
        <v>0.78085701623315862</v>
      </c>
      <c r="X200" s="74">
        <f>(T200-U200)/T200</f>
        <v>9.0625641415033719E-3</v>
      </c>
      <c r="Y200" s="80"/>
      <c r="Z200" s="79"/>
      <c r="AA200" s="79"/>
      <c r="AB200" s="73"/>
      <c r="AC200" s="79"/>
      <c r="AD200" s="74"/>
      <c r="AE200" s="80"/>
      <c r="AF200" s="79"/>
      <c r="AG200" s="79"/>
      <c r="AH200" s="79"/>
      <c r="AI200" s="79"/>
      <c r="AJ200" s="71"/>
      <c r="AK200" s="72"/>
      <c r="AL200" s="73"/>
      <c r="AM200" s="74"/>
      <c r="AN200" s="75">
        <v>0.5</v>
      </c>
    </row>
    <row r="201" spans="1:40" ht="15.6" x14ac:dyDescent="0.3">
      <c r="A201" s="29">
        <v>1975</v>
      </c>
      <c r="B201" s="76">
        <v>52.648839000000002</v>
      </c>
      <c r="C201" s="82">
        <f t="shared" si="26"/>
        <v>37.460523905268431</v>
      </c>
      <c r="D201" s="73">
        <v>0.7115166187286377</v>
      </c>
      <c r="E201" s="73">
        <v>0.34200015664100647</v>
      </c>
      <c r="F201" s="73">
        <v>6.4249426126480103E-2</v>
      </c>
      <c r="G201" s="73">
        <v>4.7934636473655701E-2</v>
      </c>
      <c r="H201" s="73">
        <v>2.9812509194016457E-2</v>
      </c>
      <c r="I201" s="82">
        <f>1.01*(1-F201)*D201*B201</f>
        <v>35.40424380937722</v>
      </c>
      <c r="J201" s="83">
        <f t="shared" ref="J201:J245" si="43">I201/(D201*B201)</f>
        <v>0.94510807961225507</v>
      </c>
      <c r="K201" s="84">
        <f t="shared" ref="K201:K217" si="44">(1-1.1*F201)</f>
        <v>0.92932563126087187</v>
      </c>
      <c r="L201" s="77"/>
      <c r="M201" s="77"/>
      <c r="N201" s="77"/>
      <c r="O201" s="77"/>
      <c r="P201" s="83"/>
      <c r="Q201" s="83"/>
      <c r="R201" s="87"/>
      <c r="S201" s="80"/>
      <c r="T201" s="79"/>
      <c r="U201" s="79"/>
      <c r="V201" s="79"/>
      <c r="W201" s="79"/>
      <c r="X201" s="71"/>
      <c r="Y201" s="80"/>
      <c r="Z201" s="79"/>
      <c r="AA201" s="79"/>
      <c r="AB201" s="73"/>
      <c r="AC201" s="79"/>
      <c r="AD201" s="74"/>
      <c r="AE201" s="80"/>
      <c r="AF201" s="79"/>
      <c r="AG201" s="79"/>
      <c r="AH201" s="79"/>
      <c r="AI201" s="79"/>
      <c r="AJ201" s="71"/>
      <c r="AK201" s="72"/>
      <c r="AL201" s="73"/>
      <c r="AM201" s="74"/>
      <c r="AN201" s="75">
        <v>0.5</v>
      </c>
    </row>
    <row r="202" spans="1:40" ht="15.6" x14ac:dyDescent="0.3">
      <c r="A202" s="29">
        <v>1976</v>
      </c>
      <c r="B202" s="76">
        <v>52.889679999999998</v>
      </c>
      <c r="C202" s="82">
        <f t="shared" si="26"/>
        <v>37.824782802090645</v>
      </c>
      <c r="D202" s="73">
        <v>0.71516376733779907</v>
      </c>
      <c r="E202" s="73">
        <v>0.34358352422714233</v>
      </c>
      <c r="F202" s="73">
        <v>6.4989149570465088E-2</v>
      </c>
      <c r="G202" s="73">
        <v>4.7850754112005234E-2</v>
      </c>
      <c r="H202" s="73">
        <v>3.002740815281868E-2</v>
      </c>
      <c r="I202" s="82">
        <f t="shared" ref="I202:I207" si="45">1.01*(1-F202)*D202*B202</f>
        <v>35.720248158446175</v>
      </c>
      <c r="J202" s="83">
        <f t="shared" si="43"/>
        <v>0.94436095893383032</v>
      </c>
      <c r="K202" s="84">
        <f t="shared" si="44"/>
        <v>0.92851193547248845</v>
      </c>
      <c r="L202" s="77"/>
      <c r="M202" s="77"/>
      <c r="N202" s="77"/>
      <c r="O202" s="77"/>
      <c r="P202" s="83"/>
      <c r="Q202" s="83"/>
      <c r="R202" s="87"/>
      <c r="S202" s="80"/>
      <c r="T202" s="79"/>
      <c r="U202" s="79"/>
      <c r="V202" s="79"/>
      <c r="W202" s="79"/>
      <c r="X202" s="71"/>
      <c r="Y202" s="80"/>
      <c r="Z202" s="79"/>
      <c r="AA202" s="79"/>
      <c r="AB202" s="73"/>
      <c r="AC202" s="79"/>
      <c r="AD202" s="74"/>
      <c r="AE202" s="80"/>
      <c r="AF202" s="79"/>
      <c r="AG202" s="79"/>
      <c r="AH202" s="79"/>
      <c r="AI202" s="79"/>
      <c r="AJ202" s="71"/>
      <c r="AK202" s="72"/>
      <c r="AL202" s="73"/>
      <c r="AM202" s="74"/>
      <c r="AN202" s="75">
        <v>0.5</v>
      </c>
    </row>
    <row r="203" spans="1:40" ht="15.6" x14ac:dyDescent="0.3">
      <c r="A203" s="29">
        <v>1977</v>
      </c>
      <c r="B203" s="76">
        <v>53.130586000000001</v>
      </c>
      <c r="C203" s="82">
        <f t="shared" si="26"/>
        <v>38.188447897371887</v>
      </c>
      <c r="D203" s="73">
        <v>0.71876579523086548</v>
      </c>
      <c r="E203" s="73">
        <v>0.34515067934989929</v>
      </c>
      <c r="F203" s="73">
        <v>6.5688975155353546E-2</v>
      </c>
      <c r="G203" s="73">
        <v>4.7766290605068207E-2</v>
      </c>
      <c r="H203" s="73">
        <v>3.0240189284086227E-2</v>
      </c>
      <c r="I203" s="82">
        <f t="shared" si="45"/>
        <v>36.036686771142115</v>
      </c>
      <c r="J203" s="83">
        <f t="shared" si="43"/>
        <v>0.94365413509309304</v>
      </c>
      <c r="K203" s="84">
        <f t="shared" si="44"/>
        <v>0.9277421273291111</v>
      </c>
      <c r="L203" s="77"/>
      <c r="M203" s="77"/>
      <c r="N203" s="77"/>
      <c r="O203" s="77"/>
      <c r="P203" s="83"/>
      <c r="Q203" s="83"/>
      <c r="R203" s="87"/>
      <c r="S203" s="80"/>
      <c r="T203" s="79"/>
      <c r="U203" s="79"/>
      <c r="V203" s="79"/>
      <c r="W203" s="79"/>
      <c r="X203" s="71"/>
      <c r="Y203" s="80"/>
      <c r="Z203" s="79"/>
      <c r="AA203" s="79"/>
      <c r="AB203" s="73"/>
      <c r="AC203" s="79"/>
      <c r="AD203" s="74"/>
      <c r="AE203" s="80"/>
      <c r="AF203" s="79"/>
      <c r="AG203" s="79"/>
      <c r="AH203" s="79"/>
      <c r="AI203" s="79"/>
      <c r="AJ203" s="71"/>
      <c r="AK203" s="72">
        <v>0.78900000000000003</v>
      </c>
      <c r="AL203" s="73"/>
      <c r="AM203" s="74"/>
      <c r="AN203" s="75">
        <v>0.5</v>
      </c>
    </row>
    <row r="204" spans="1:40" ht="15.6" x14ac:dyDescent="0.3">
      <c r="A204" s="29">
        <v>1978</v>
      </c>
      <c r="B204" s="76">
        <v>53.371426999999997</v>
      </c>
      <c r="C204" s="82">
        <f t="shared" si="26"/>
        <v>38.551511085845647</v>
      </c>
      <c r="D204" s="73">
        <v>0.7223249077796936</v>
      </c>
      <c r="E204" s="73">
        <v>0.34669512510299683</v>
      </c>
      <c r="F204" s="73">
        <v>6.6392324864864349E-2</v>
      </c>
      <c r="G204" s="73">
        <v>4.7683924436569214E-2</v>
      </c>
      <c r="H204" s="73">
        <v>3.0451219528913498E-2</v>
      </c>
      <c r="I204" s="82">
        <f t="shared" si="45"/>
        <v>36.351906504180789</v>
      </c>
      <c r="J204" s="83">
        <f t="shared" si="43"/>
        <v>0.94294375188648694</v>
      </c>
      <c r="K204" s="84">
        <f t="shared" si="44"/>
        <v>0.92696844264864919</v>
      </c>
      <c r="L204" s="82">
        <v>34.421888000000003</v>
      </c>
      <c r="M204" s="82">
        <v>28.656848</v>
      </c>
      <c r="N204" s="82">
        <v>28.098115</v>
      </c>
      <c r="O204" s="73">
        <f t="shared" ref="O204" si="46">L204/I204</f>
        <v>0.94690736498348949</v>
      </c>
      <c r="P204" s="83">
        <f>M204/L204</f>
        <v>0.83251819307528974</v>
      </c>
      <c r="Q204" s="83">
        <f t="shared" ref="Q204" si="47">P204*O204</f>
        <v>0.78831760850573851</v>
      </c>
      <c r="R204" s="83">
        <f>(M204-N204)/M204</f>
        <v>1.9497364120436417E-2</v>
      </c>
      <c r="S204" s="80"/>
      <c r="T204" s="79"/>
      <c r="U204" s="79"/>
      <c r="V204" s="79"/>
      <c r="W204" s="79"/>
      <c r="X204" s="71"/>
      <c r="Y204" s="80"/>
      <c r="Z204" s="79"/>
      <c r="AA204" s="79"/>
      <c r="AB204" s="73"/>
      <c r="AC204" s="79"/>
      <c r="AD204" s="74"/>
      <c r="AE204" s="80"/>
      <c r="AF204" s="79"/>
      <c r="AG204" s="79"/>
      <c r="AH204" s="79"/>
      <c r="AI204" s="79"/>
      <c r="AJ204" s="71"/>
      <c r="AK204" s="72"/>
      <c r="AL204" s="73"/>
      <c r="AM204" s="74"/>
      <c r="AN204" s="75">
        <v>0.5</v>
      </c>
    </row>
    <row r="205" spans="1:40" ht="15.6" x14ac:dyDescent="0.3">
      <c r="A205" s="29">
        <v>1979</v>
      </c>
      <c r="B205" s="76">
        <v>53.612282999999998</v>
      </c>
      <c r="C205" s="82">
        <f t="shared" si="26"/>
        <v>38.914963786857427</v>
      </c>
      <c r="D205" s="73">
        <v>0.72585910558700562</v>
      </c>
      <c r="E205" s="73">
        <v>0.34823250770568848</v>
      </c>
      <c r="F205" s="73">
        <v>6.7050665616989136E-2</v>
      </c>
      <c r="G205" s="73">
        <v>4.7600679099559784E-2</v>
      </c>
      <c r="H205" s="73">
        <v>3.0659895390272141E-2</v>
      </c>
      <c r="I205" s="82">
        <f t="shared" si="45"/>
        <v>36.66874645811248</v>
      </c>
      <c r="J205" s="83">
        <f t="shared" si="43"/>
        <v>0.9422788277268408</v>
      </c>
      <c r="K205" s="84">
        <f t="shared" si="44"/>
        <v>0.92624426782131197</v>
      </c>
      <c r="L205" s="77"/>
      <c r="M205" s="77"/>
      <c r="N205" s="77"/>
      <c r="O205" s="77"/>
      <c r="P205" s="83"/>
      <c r="Q205" s="83"/>
      <c r="R205" s="87"/>
      <c r="S205" s="80"/>
      <c r="T205" s="79"/>
      <c r="U205" s="79"/>
      <c r="V205" s="79"/>
      <c r="W205" s="79"/>
      <c r="X205" s="71"/>
      <c r="Y205" s="80"/>
      <c r="Z205" s="79"/>
      <c r="AA205" s="79"/>
      <c r="AB205" s="73"/>
      <c r="AC205" s="79"/>
      <c r="AD205" s="74"/>
      <c r="AE205" s="76"/>
      <c r="AF205" s="82"/>
      <c r="AG205" s="82"/>
      <c r="AH205" s="73"/>
      <c r="AI205" s="83"/>
      <c r="AJ205" s="74"/>
      <c r="AK205" s="72"/>
      <c r="AL205" s="73"/>
      <c r="AM205" s="74">
        <v>0.60709999999999997</v>
      </c>
      <c r="AN205" s="75">
        <v>0.5</v>
      </c>
    </row>
    <row r="206" spans="1:40" ht="15.6" x14ac:dyDescent="0.3">
      <c r="A206" s="29">
        <v>1980</v>
      </c>
      <c r="B206" s="76">
        <v>53.853124000000001</v>
      </c>
      <c r="C206" s="82">
        <f t="shared" si="26"/>
        <v>39.278027999644522</v>
      </c>
      <c r="D206" s="73">
        <v>0.72935467958450317</v>
      </c>
      <c r="E206" s="73">
        <v>0.34974941611289978</v>
      </c>
      <c r="F206" s="73">
        <v>6.7745417356491089E-2</v>
      </c>
      <c r="G206" s="73">
        <v>4.7519788146018982E-2</v>
      </c>
      <c r="H206" s="73">
        <v>3.0867159366607666E-2</v>
      </c>
      <c r="I206" s="82">
        <f t="shared" si="45"/>
        <v>36.983292815867344</v>
      </c>
      <c r="J206" s="83">
        <f t="shared" si="43"/>
        <v>0.9415771284699439</v>
      </c>
      <c r="K206" s="84">
        <f t="shared" si="44"/>
        <v>0.92548004090785985</v>
      </c>
      <c r="L206" s="77"/>
      <c r="M206" s="77"/>
      <c r="N206" s="77"/>
      <c r="O206" s="77"/>
      <c r="P206" s="83"/>
      <c r="Q206" s="83"/>
      <c r="R206" s="87"/>
      <c r="S206" s="80"/>
      <c r="T206" s="79"/>
      <c r="U206" s="79"/>
      <c r="V206" s="79"/>
      <c r="W206" s="79"/>
      <c r="X206" s="71"/>
      <c r="Y206" s="80"/>
      <c r="Z206" s="79"/>
      <c r="AA206" s="79"/>
      <c r="AB206" s="73"/>
      <c r="AC206" s="79"/>
      <c r="AD206" s="74"/>
      <c r="AE206" s="80"/>
      <c r="AF206" s="79"/>
      <c r="AG206" s="79"/>
      <c r="AH206" s="79"/>
      <c r="AI206" s="79"/>
      <c r="AJ206" s="71"/>
      <c r="AK206" s="72"/>
      <c r="AL206" s="73"/>
      <c r="AM206" s="74"/>
      <c r="AN206" s="75">
        <v>0.5</v>
      </c>
    </row>
    <row r="207" spans="1:40" ht="15.6" x14ac:dyDescent="0.3">
      <c r="A207" s="29">
        <v>1981</v>
      </c>
      <c r="B207" s="76">
        <v>54.094029999999997</v>
      </c>
      <c r="C207" s="82">
        <f t="shared" si="26"/>
        <v>39.641724131666422</v>
      </c>
      <c r="D207" s="73">
        <v>0.73282992839813232</v>
      </c>
      <c r="E207" s="73">
        <v>0.3512614369392395</v>
      </c>
      <c r="F207" s="73">
        <v>6.8428024649620056E-2</v>
      </c>
      <c r="G207" s="73">
        <v>4.7438304871320724E-2</v>
      </c>
      <c r="H207" s="73">
        <v>3.1072411686182022E-2</v>
      </c>
      <c r="I207" s="82">
        <f t="shared" si="45"/>
        <v>37.298410448187624</v>
      </c>
      <c r="J207" s="83">
        <f t="shared" si="43"/>
        <v>0.9408876951038837</v>
      </c>
      <c r="K207" s="84">
        <f t="shared" si="44"/>
        <v>0.92472917288541789</v>
      </c>
      <c r="L207" s="82">
        <v>35.529949999999999</v>
      </c>
      <c r="M207" s="82">
        <v>25.175270000000001</v>
      </c>
      <c r="N207" s="82">
        <v>24.823283</v>
      </c>
      <c r="O207" s="73">
        <f t="shared" ref="O207" si="48">L207/I207</f>
        <v>0.95258617118163125</v>
      </c>
      <c r="P207" s="83">
        <f>M207/L207</f>
        <v>0.70856474608041953</v>
      </c>
      <c r="Q207" s="83">
        <f t="shared" ref="Q207" si="49">P207*O207</f>
        <v>0.67496897850303161</v>
      </c>
      <c r="R207" s="83">
        <f>(M207-N207)/M207</f>
        <v>1.3981458788724059E-2</v>
      </c>
      <c r="S207" s="76">
        <v>35.564808999999997</v>
      </c>
      <c r="T207" s="82">
        <v>28.978272</v>
      </c>
      <c r="U207" s="82">
        <v>28.508725999999999</v>
      </c>
      <c r="V207" s="73">
        <f>T207/S207</f>
        <v>0.81480184527351185</v>
      </c>
      <c r="W207" s="83">
        <f>V207*S207/I207</f>
        <v>0.77693048180309487</v>
      </c>
      <c r="X207" s="74">
        <f>(T207-U207)/T207</f>
        <v>1.6203381623307322E-2</v>
      </c>
      <c r="Y207" s="80"/>
      <c r="Z207" s="79"/>
      <c r="AA207" s="79"/>
      <c r="AB207" s="73"/>
      <c r="AC207" s="79"/>
      <c r="AD207" s="74"/>
      <c r="AE207" s="80"/>
      <c r="AF207" s="79"/>
      <c r="AG207" s="79"/>
      <c r="AH207" s="79"/>
      <c r="AI207" s="79"/>
      <c r="AJ207" s="71"/>
      <c r="AK207" s="72"/>
      <c r="AL207" s="73"/>
      <c r="AM207" s="74"/>
      <c r="AN207" s="75">
        <v>0.5</v>
      </c>
    </row>
    <row r="208" spans="1:40" ht="15.6" x14ac:dyDescent="0.3">
      <c r="A208" s="29">
        <v>1982</v>
      </c>
      <c r="B208" s="76">
        <v>54.334871</v>
      </c>
      <c r="C208" s="82">
        <f t="shared" si="26"/>
        <v>40.000984141231122</v>
      </c>
      <c r="D208" s="73">
        <v>0.73619359731674194</v>
      </c>
      <c r="E208" s="73">
        <v>0.35272884368896484</v>
      </c>
      <c r="F208" s="73">
        <v>6.8406999111175537E-2</v>
      </c>
      <c r="G208" s="73">
        <v>4.735884815454483E-2</v>
      </c>
      <c r="H208" s="73">
        <v>3.1276009976863861E-2</v>
      </c>
      <c r="I208" s="82">
        <f>1.011*(1-F208)*D208*B208</f>
        <v>37.674547860036768</v>
      </c>
      <c r="J208" s="83">
        <f t="shared" si="43"/>
        <v>0.9418405238986014</v>
      </c>
      <c r="K208" s="84">
        <f t="shared" si="44"/>
        <v>0.92475230097770689</v>
      </c>
      <c r="L208" s="77"/>
      <c r="M208" s="77"/>
      <c r="N208" s="77"/>
      <c r="O208" s="77"/>
      <c r="P208" s="83"/>
      <c r="Q208" s="83"/>
      <c r="R208" s="87"/>
      <c r="S208" s="80"/>
      <c r="T208" s="79"/>
      <c r="U208" s="79"/>
      <c r="V208" s="79"/>
      <c r="W208" s="79"/>
      <c r="X208" s="71"/>
      <c r="Y208" s="80"/>
      <c r="Z208" s="79"/>
      <c r="AA208" s="79"/>
      <c r="AB208" s="73"/>
      <c r="AC208" s="79"/>
      <c r="AD208" s="74"/>
      <c r="AE208" s="80"/>
      <c r="AF208" s="79"/>
      <c r="AG208" s="79"/>
      <c r="AH208" s="79"/>
      <c r="AI208" s="79"/>
      <c r="AJ208" s="71"/>
      <c r="AK208" s="72"/>
      <c r="AL208" s="73"/>
      <c r="AM208" s="74"/>
      <c r="AN208" s="75">
        <v>0.5</v>
      </c>
    </row>
    <row r="209" spans="1:40" ht="15.6" x14ac:dyDescent="0.3">
      <c r="A209" s="29">
        <v>1983</v>
      </c>
      <c r="B209" s="76">
        <v>54.622163</v>
      </c>
      <c r="C209" s="82">
        <f t="shared" ref="C209:C247" si="50">D209*B209</f>
        <v>40.367537777852355</v>
      </c>
      <c r="D209" s="73">
        <v>0.73903220891952515</v>
      </c>
      <c r="E209" s="73">
        <v>0.35405752062797546</v>
      </c>
      <c r="F209" s="73">
        <v>6.7767031490802765E-2</v>
      </c>
      <c r="G209" s="73">
        <v>4.7254446893930435E-2</v>
      </c>
      <c r="H209" s="73">
        <v>3.1544905155897141E-2</v>
      </c>
      <c r="I209" s="82">
        <f>1.012*(1-F209)*D209*B209</f>
        <v>38.083532968943118</v>
      </c>
      <c r="J209" s="83">
        <f t="shared" si="43"/>
        <v>0.94341976413130757</v>
      </c>
      <c r="K209" s="84">
        <f t="shared" si="44"/>
        <v>0.92545626536011694</v>
      </c>
      <c r="L209" s="77"/>
      <c r="M209" s="77"/>
      <c r="N209" s="77"/>
      <c r="O209" s="77"/>
      <c r="P209" s="83"/>
      <c r="Q209" s="83"/>
      <c r="R209" s="87"/>
      <c r="S209" s="80"/>
      <c r="T209" s="79"/>
      <c r="U209" s="79"/>
      <c r="V209" s="79"/>
      <c r="W209" s="79"/>
      <c r="X209" s="71"/>
      <c r="Y209" s="80"/>
      <c r="Z209" s="79"/>
      <c r="AA209" s="79"/>
      <c r="AB209" s="73"/>
      <c r="AC209" s="79"/>
      <c r="AD209" s="74"/>
      <c r="AE209" s="80"/>
      <c r="AF209" s="79"/>
      <c r="AG209" s="79"/>
      <c r="AH209" s="79"/>
      <c r="AI209" s="79"/>
      <c r="AJ209" s="71"/>
      <c r="AK209" s="72">
        <v>0.78359999999999996</v>
      </c>
      <c r="AL209" s="73"/>
      <c r="AM209" s="74"/>
      <c r="AN209" s="75">
        <v>0.5</v>
      </c>
    </row>
    <row r="210" spans="1:40" ht="15.6" x14ac:dyDescent="0.3">
      <c r="A210" s="29">
        <v>1984</v>
      </c>
      <c r="B210" s="76">
        <v>54.909244000000001</v>
      </c>
      <c r="C210" s="82">
        <f t="shared" si="50"/>
        <v>40.739012207360268</v>
      </c>
      <c r="D210" s="73">
        <v>0.74193358421325684</v>
      </c>
      <c r="E210" s="73">
        <v>0.35537880659103394</v>
      </c>
      <c r="F210" s="73">
        <v>6.7138336598873138E-2</v>
      </c>
      <c r="G210" s="73">
        <v>4.7151222825050354E-2</v>
      </c>
      <c r="H210" s="73">
        <v>3.1810872256755829E-2</v>
      </c>
      <c r="I210" s="82">
        <f>1.013*(1-F210)*D210*B210</f>
        <v>38.49791290808691</v>
      </c>
      <c r="J210" s="83">
        <f t="shared" si="43"/>
        <v>0.94498886502534141</v>
      </c>
      <c r="K210" s="84">
        <f t="shared" si="44"/>
        <v>0.92614782974123955</v>
      </c>
      <c r="L210" s="77"/>
      <c r="M210" s="77"/>
      <c r="N210" s="77"/>
      <c r="O210" s="77"/>
      <c r="P210" s="83"/>
      <c r="Q210" s="83"/>
      <c r="R210" s="87"/>
      <c r="S210" s="80"/>
      <c r="T210" s="79"/>
      <c r="U210" s="79"/>
      <c r="V210" s="79"/>
      <c r="W210" s="79"/>
      <c r="X210" s="71"/>
      <c r="Y210" s="80"/>
      <c r="Z210" s="79"/>
      <c r="AA210" s="79"/>
      <c r="AB210" s="73"/>
      <c r="AC210" s="79"/>
      <c r="AD210" s="74"/>
      <c r="AE210" s="80"/>
      <c r="AF210" s="79"/>
      <c r="AG210" s="79"/>
      <c r="AH210" s="79"/>
      <c r="AI210" s="79"/>
      <c r="AJ210" s="71"/>
      <c r="AK210" s="72"/>
      <c r="AL210" s="73"/>
      <c r="AM210" s="74">
        <v>0.56720000000000004</v>
      </c>
      <c r="AN210" s="75">
        <v>0.5</v>
      </c>
    </row>
    <row r="211" spans="1:40" ht="15.6" x14ac:dyDescent="0.3">
      <c r="A211" s="29">
        <v>1985</v>
      </c>
      <c r="B211" s="76">
        <v>55.192134000000003</v>
      </c>
      <c r="C211" s="82">
        <f t="shared" si="50"/>
        <v>41.101408640620711</v>
      </c>
      <c r="D211" s="73">
        <v>0.74469685554504395</v>
      </c>
      <c r="E211" s="73">
        <v>0.3566707968711853</v>
      </c>
      <c r="F211" s="73">
        <v>6.6457532346248627E-2</v>
      </c>
      <c r="G211" s="73">
        <v>4.7049149870872498E-2</v>
      </c>
      <c r="H211" s="73">
        <v>3.2075025141239166E-2</v>
      </c>
      <c r="I211" s="82">
        <f>1.014*(1-F211)*D211*B211</f>
        <v>38.907089192660017</v>
      </c>
      <c r="J211" s="83">
        <f t="shared" si="43"/>
        <v>0.94661206220090377</v>
      </c>
      <c r="K211" s="84">
        <f t="shared" si="44"/>
        <v>0.92689671441912647</v>
      </c>
      <c r="L211" s="77"/>
      <c r="M211" s="77"/>
      <c r="N211" s="77"/>
      <c r="O211" s="77"/>
      <c r="P211" s="83"/>
      <c r="Q211" s="83"/>
      <c r="R211" s="87"/>
      <c r="S211" s="80"/>
      <c r="T211" s="79"/>
      <c r="U211" s="79"/>
      <c r="V211" s="79"/>
      <c r="W211" s="79"/>
      <c r="X211" s="71"/>
      <c r="Y211" s="80"/>
      <c r="Z211" s="79"/>
      <c r="AA211" s="79"/>
      <c r="AB211" s="73"/>
      <c r="AC211" s="79"/>
      <c r="AD211" s="74"/>
      <c r="AE211" s="80"/>
      <c r="AF211" s="79"/>
      <c r="AG211" s="79"/>
      <c r="AH211" s="79"/>
      <c r="AI211" s="79"/>
      <c r="AJ211" s="71"/>
      <c r="AK211" s="72"/>
      <c r="AL211" s="73"/>
      <c r="AM211" s="74"/>
      <c r="AN211" s="75">
        <v>0.5</v>
      </c>
    </row>
    <row r="212" spans="1:40" ht="15.6" x14ac:dyDescent="0.3">
      <c r="A212" s="29">
        <v>1986</v>
      </c>
      <c r="B212" s="76">
        <v>55.483713000000002</v>
      </c>
      <c r="C212" s="82">
        <f t="shared" si="50"/>
        <v>41.476661741820756</v>
      </c>
      <c r="D212" s="73">
        <v>0.74754661321640015</v>
      </c>
      <c r="E212" s="73">
        <v>0.35797718167304993</v>
      </c>
      <c r="F212" s="73">
        <v>6.5917953848838806E-2</v>
      </c>
      <c r="G212" s="73">
        <v>4.6948298811912537E-2</v>
      </c>
      <c r="H212" s="73">
        <v>3.2334804534912109E-2</v>
      </c>
      <c r="I212" s="82">
        <f t="shared" ref="I212:I247" si="51">1.015*(1-F212)*D212*B212</f>
        <v>39.3237441433293</v>
      </c>
      <c r="J212" s="83">
        <f t="shared" si="43"/>
        <v>0.94809327684342837</v>
      </c>
      <c r="K212" s="84">
        <f t="shared" si="44"/>
        <v>0.92749025076627734</v>
      </c>
      <c r="L212" s="82">
        <v>36.586131999999999</v>
      </c>
      <c r="M212" s="82">
        <v>28.718692999999998</v>
      </c>
      <c r="N212" s="82">
        <v>27.473863999999999</v>
      </c>
      <c r="O212" s="73">
        <f t="shared" ref="O212:O214" si="52">L212/I212</f>
        <v>0.9303827190678714</v>
      </c>
      <c r="P212" s="83">
        <f>M212/L212</f>
        <v>0.78496117053314074</v>
      </c>
      <c r="Q212" s="83">
        <f t="shared" ref="Q212:Q214" si="53">P212*O212</f>
        <v>0.73031430820332255</v>
      </c>
      <c r="R212" s="83">
        <f>(M212-N212)/M212</f>
        <v>4.3345600720757015E-2</v>
      </c>
      <c r="S212" s="80"/>
      <c r="T212" s="79"/>
      <c r="U212" s="79"/>
      <c r="V212" s="79"/>
      <c r="W212" s="79"/>
      <c r="X212" s="71"/>
      <c r="Y212" s="80"/>
      <c r="Z212" s="79"/>
      <c r="AA212" s="79"/>
      <c r="AB212" s="73"/>
      <c r="AC212" s="79"/>
      <c r="AD212" s="74"/>
      <c r="AE212" s="80"/>
      <c r="AF212" s="79"/>
      <c r="AG212" s="79"/>
      <c r="AH212" s="79"/>
      <c r="AI212" s="79"/>
      <c r="AJ212" s="71"/>
      <c r="AK212" s="72"/>
      <c r="AL212" s="73">
        <v>0.74829999999999997</v>
      </c>
      <c r="AM212" s="88"/>
      <c r="AN212" s="75">
        <v>0.5</v>
      </c>
    </row>
    <row r="213" spans="1:40" ht="15.6" x14ac:dyDescent="0.3">
      <c r="A213" s="29">
        <v>1987</v>
      </c>
      <c r="B213" s="76">
        <v>55.762220999999997</v>
      </c>
      <c r="C213" s="82">
        <f t="shared" si="50"/>
        <v>41.835282897173698</v>
      </c>
      <c r="D213" s="73">
        <v>0.75024420022964478</v>
      </c>
      <c r="E213" s="73">
        <v>0.3592345118522644</v>
      </c>
      <c r="F213" s="73">
        <v>6.5203279256820679E-2</v>
      </c>
      <c r="G213" s="73">
        <v>4.684818908572197E-2</v>
      </c>
      <c r="H213" s="73">
        <v>3.2594524323940277E-2</v>
      </c>
      <c r="I213" s="82">
        <f t="shared" si="51"/>
        <v>39.694097542595806</v>
      </c>
      <c r="J213" s="83">
        <f t="shared" si="43"/>
        <v>0.94881867155432698</v>
      </c>
      <c r="K213" s="84">
        <f t="shared" si="44"/>
        <v>0.9282763928174973</v>
      </c>
      <c r="L213" s="77"/>
      <c r="M213" s="77"/>
      <c r="N213" s="77"/>
      <c r="O213" s="77"/>
      <c r="P213" s="83"/>
      <c r="Q213" s="83"/>
      <c r="R213" s="87"/>
      <c r="S213" s="80"/>
      <c r="T213" s="79"/>
      <c r="U213" s="79"/>
      <c r="V213" s="79"/>
      <c r="W213" s="79"/>
      <c r="X213" s="71"/>
      <c r="Y213" s="80"/>
      <c r="Z213" s="79"/>
      <c r="AA213" s="79"/>
      <c r="AB213" s="73"/>
      <c r="AC213" s="79"/>
      <c r="AD213" s="74"/>
      <c r="AE213" s="80"/>
      <c r="AF213" s="79"/>
      <c r="AG213" s="79"/>
      <c r="AH213" s="79"/>
      <c r="AI213" s="79"/>
      <c r="AJ213" s="71"/>
      <c r="AK213" s="72"/>
      <c r="AL213" s="73"/>
      <c r="AM213" s="74"/>
      <c r="AN213" s="75">
        <v>0.5</v>
      </c>
    </row>
    <row r="214" spans="1:40" ht="15.6" x14ac:dyDescent="0.3">
      <c r="A214" s="29">
        <v>1988</v>
      </c>
      <c r="B214" s="76">
        <v>56.049550000000004</v>
      </c>
      <c r="C214" s="82">
        <f t="shared" si="50"/>
        <v>42.207657577055699</v>
      </c>
      <c r="D214" s="73">
        <v>0.75304186344146729</v>
      </c>
      <c r="E214" s="73">
        <v>0.36051252484321594</v>
      </c>
      <c r="F214" s="73">
        <v>6.4601249992847443E-2</v>
      </c>
      <c r="G214" s="73">
        <v>4.6749010682106018E-2</v>
      </c>
      <c r="H214" s="73">
        <v>3.2849825918674469E-2</v>
      </c>
      <c r="I214" s="82">
        <f t="shared" si="51"/>
        <v>40.073204990382429</v>
      </c>
      <c r="J214" s="83">
        <f t="shared" si="43"/>
        <v>0.9494297312572596</v>
      </c>
      <c r="K214" s="84">
        <f t="shared" si="44"/>
        <v>0.92893862500786784</v>
      </c>
      <c r="L214" s="82">
        <v>37.090560000000004</v>
      </c>
      <c r="M214" s="82">
        <v>24.527439999999999</v>
      </c>
      <c r="N214" s="82">
        <v>23.995426999999999</v>
      </c>
      <c r="O214" s="73">
        <f t="shared" si="52"/>
        <v>0.92557009125927758</v>
      </c>
      <c r="P214" s="83">
        <f>M214/L214</f>
        <v>0.66128524346895801</v>
      </c>
      <c r="Q214" s="83">
        <f t="shared" si="53"/>
        <v>0.61206584314597701</v>
      </c>
      <c r="R214" s="83">
        <f>(M214-N214)/M214</f>
        <v>2.1690522940836843E-2</v>
      </c>
      <c r="S214" s="76">
        <v>37.041981</v>
      </c>
      <c r="T214" s="82">
        <v>30.380780999999999</v>
      </c>
      <c r="U214" s="82">
        <v>29.779888</v>
      </c>
      <c r="V214" s="73">
        <f>T214/S214</f>
        <v>0.82017160475299633</v>
      </c>
      <c r="W214" s="83">
        <f>V214*S214/I214</f>
        <v>0.75813204876653584</v>
      </c>
      <c r="X214" s="74">
        <f>(T214-U214)/T214</f>
        <v>1.9778721290937162E-2</v>
      </c>
      <c r="Y214" s="80"/>
      <c r="Z214" s="79"/>
      <c r="AA214" s="79"/>
      <c r="AB214" s="73">
        <v>0.374</v>
      </c>
      <c r="AC214" s="73">
        <v>0.11899999999999999</v>
      </c>
      <c r="AD214" s="74">
        <v>0.8</v>
      </c>
      <c r="AE214" s="80"/>
      <c r="AF214" s="79"/>
      <c r="AG214" s="79"/>
      <c r="AH214" s="79"/>
      <c r="AI214" s="79"/>
      <c r="AJ214" s="71"/>
      <c r="AK214" s="72"/>
      <c r="AL214" s="73"/>
      <c r="AM214" s="74"/>
      <c r="AN214" s="75">
        <v>0.5</v>
      </c>
    </row>
    <row r="215" spans="1:40" ht="15.6" x14ac:dyDescent="0.3">
      <c r="A215" s="29">
        <v>1989</v>
      </c>
      <c r="B215" s="76">
        <v>56.332191999999999</v>
      </c>
      <c r="C215" s="82">
        <f t="shared" si="50"/>
        <v>42.568893989757534</v>
      </c>
      <c r="D215" s="73">
        <v>0.75567615032196045</v>
      </c>
      <c r="E215" s="73">
        <v>0.36174041032791138</v>
      </c>
      <c r="F215" s="73">
        <v>6.3946820795536041E-2</v>
      </c>
      <c r="G215" s="73">
        <v>4.6651158481836319E-2</v>
      </c>
      <c r="H215" s="73">
        <v>3.3103290945291519E-2</v>
      </c>
      <c r="I215" s="82">
        <f t="shared" si="51"/>
        <v>40.444449782645293</v>
      </c>
      <c r="J215" s="83">
        <f t="shared" si="43"/>
        <v>0.95009397689253094</v>
      </c>
      <c r="K215" s="84">
        <f t="shared" si="44"/>
        <v>0.92965849712491033</v>
      </c>
      <c r="L215" s="77"/>
      <c r="M215" s="77"/>
      <c r="N215" s="77"/>
      <c r="O215" s="77"/>
      <c r="P215" s="83"/>
      <c r="Q215" s="83"/>
      <c r="R215" s="87"/>
      <c r="S215" s="80"/>
      <c r="T215" s="79"/>
      <c r="U215" s="79"/>
      <c r="V215" s="79"/>
      <c r="W215" s="79"/>
      <c r="X215" s="71"/>
      <c r="Y215" s="80"/>
      <c r="Z215" s="79"/>
      <c r="AA215" s="79"/>
      <c r="AB215" s="73"/>
      <c r="AC215" s="79"/>
      <c r="AD215" s="74"/>
      <c r="AE215" s="80"/>
      <c r="AF215" s="79"/>
      <c r="AG215" s="79"/>
      <c r="AH215" s="79"/>
      <c r="AI215" s="79"/>
      <c r="AJ215" s="71"/>
      <c r="AK215" s="72">
        <v>0.72809999999999997</v>
      </c>
      <c r="AL215" s="73"/>
      <c r="AM215" s="74">
        <v>0.48799999999999999</v>
      </c>
      <c r="AN215" s="75">
        <v>0.5</v>
      </c>
    </row>
    <row r="216" spans="1:40" ht="15.6" x14ac:dyDescent="0.3">
      <c r="A216" s="29">
        <v>1990</v>
      </c>
      <c r="B216" s="76">
        <v>56.615155000000001</v>
      </c>
      <c r="C216" s="82">
        <f t="shared" si="50"/>
        <v>42.938095690231023</v>
      </c>
      <c r="D216" s="73">
        <v>0.75842052698135376</v>
      </c>
      <c r="E216" s="73">
        <v>0.36300203204154968</v>
      </c>
      <c r="F216" s="73">
        <v>6.3261143863201141E-2</v>
      </c>
      <c r="G216" s="73">
        <v>4.6554211527109146E-2</v>
      </c>
      <c r="H216" s="73">
        <v>3.3354602754116058E-2</v>
      </c>
      <c r="I216" s="82">
        <f t="shared" si="51"/>
        <v>40.825109381182813</v>
      </c>
      <c r="J216" s="83">
        <f t="shared" si="43"/>
        <v>0.95078993897885089</v>
      </c>
      <c r="K216" s="84">
        <f t="shared" si="44"/>
        <v>0.93041274175047872</v>
      </c>
      <c r="L216" s="77"/>
      <c r="M216" s="77"/>
      <c r="N216" s="77"/>
      <c r="O216" s="77"/>
      <c r="P216" s="83"/>
      <c r="Q216" s="83"/>
      <c r="R216" s="87"/>
      <c r="S216" s="80"/>
      <c r="T216" s="79"/>
      <c r="U216" s="79"/>
      <c r="V216" s="79"/>
      <c r="W216" s="79"/>
      <c r="X216" s="71"/>
      <c r="Y216" s="80"/>
      <c r="Z216" s="79"/>
      <c r="AA216" s="79"/>
      <c r="AB216" s="73"/>
      <c r="AC216" s="79"/>
      <c r="AD216" s="74"/>
      <c r="AE216" s="80"/>
      <c r="AF216" s="79"/>
      <c r="AG216" s="79"/>
      <c r="AH216" s="79"/>
      <c r="AI216" s="79"/>
      <c r="AJ216" s="71"/>
      <c r="AK216" s="72"/>
      <c r="AL216" s="73"/>
      <c r="AM216" s="74"/>
      <c r="AN216" s="75">
        <v>0.5</v>
      </c>
    </row>
    <row r="217" spans="1:40" ht="15.6" x14ac:dyDescent="0.3">
      <c r="A217" s="29">
        <v>1991</v>
      </c>
      <c r="B217" s="76">
        <v>56.826661999999999</v>
      </c>
      <c r="C217" s="82">
        <f t="shared" si="50"/>
        <v>43.193001177128913</v>
      </c>
      <c r="D217" s="73">
        <v>0.76008337736129761</v>
      </c>
      <c r="E217" s="73">
        <v>0.36373096704483032</v>
      </c>
      <c r="F217" s="73">
        <v>6.241130456328392E-2</v>
      </c>
      <c r="G217" s="73">
        <v>4.6619579195976257E-2</v>
      </c>
      <c r="H217" s="73">
        <v>3.3480726182460785E-2</v>
      </c>
      <c r="I217" s="82">
        <f t="shared" si="51"/>
        <v>41.104728670045752</v>
      </c>
      <c r="J217" s="83">
        <f t="shared" si="43"/>
        <v>0.95165252586826676</v>
      </c>
      <c r="K217" s="84">
        <f t="shared" si="44"/>
        <v>0.93134756498038773</v>
      </c>
      <c r="L217" s="77"/>
      <c r="M217" s="77"/>
      <c r="N217" s="77"/>
      <c r="O217" s="77"/>
      <c r="P217" s="83"/>
      <c r="Q217" s="83"/>
      <c r="R217" s="87"/>
      <c r="S217" s="80"/>
      <c r="T217" s="79"/>
      <c r="U217" s="79"/>
      <c r="V217" s="79"/>
      <c r="W217" s="79"/>
      <c r="X217" s="71"/>
      <c r="Y217" s="80"/>
      <c r="Z217" s="79"/>
      <c r="AA217" s="79"/>
      <c r="AB217" s="73"/>
      <c r="AC217" s="79"/>
      <c r="AD217" s="74"/>
      <c r="AE217" s="80"/>
      <c r="AF217" s="79"/>
      <c r="AG217" s="79"/>
      <c r="AH217" s="79"/>
      <c r="AI217" s="79"/>
      <c r="AJ217" s="71"/>
      <c r="AK217" s="72"/>
      <c r="AL217" s="73"/>
      <c r="AM217" s="74"/>
      <c r="AN217" s="75">
        <v>0.5</v>
      </c>
    </row>
    <row r="218" spans="1:40" ht="15.6" x14ac:dyDescent="0.3">
      <c r="A218" s="29">
        <v>1992</v>
      </c>
      <c r="B218" s="76">
        <v>57.038041999999997</v>
      </c>
      <c r="C218" s="82">
        <f t="shared" si="50"/>
        <v>43.44798637275052</v>
      </c>
      <c r="D218" s="73">
        <v>0.76173698902130127</v>
      </c>
      <c r="E218" s="73">
        <v>0.36446934938430786</v>
      </c>
      <c r="F218" s="73">
        <v>6.1559274792671204E-2</v>
      </c>
      <c r="G218" s="73">
        <v>4.6683967113494873E-2</v>
      </c>
      <c r="H218" s="73">
        <v>3.3605482429265976E-2</v>
      </c>
      <c r="I218" s="82">
        <f t="shared" si="51"/>
        <v>41.384960238048762</v>
      </c>
      <c r="J218" s="83">
        <f t="shared" si="43"/>
        <v>0.95251733608543854</v>
      </c>
      <c r="K218" s="84">
        <f>(1-1.1*F218)</f>
        <v>0.93228479772806172</v>
      </c>
      <c r="L218" s="77"/>
      <c r="M218" s="77"/>
      <c r="N218" s="77"/>
      <c r="O218" s="77"/>
      <c r="P218" s="83"/>
      <c r="Q218" s="83"/>
      <c r="R218" s="87"/>
      <c r="S218" s="80"/>
      <c r="T218" s="79"/>
      <c r="U218" s="79"/>
      <c r="V218" s="79"/>
      <c r="W218" s="79"/>
      <c r="X218" s="71"/>
      <c r="Y218" s="76">
        <v>37.092722999999999</v>
      </c>
      <c r="Z218" s="82">
        <f>AB218*Y218</f>
        <v>26.381856000000003</v>
      </c>
      <c r="AA218" s="82">
        <f>(1-AC218)*Z218</f>
        <v>25.505351000000001</v>
      </c>
      <c r="AB218" s="73">
        <v>0.71124074660142911</v>
      </c>
      <c r="AC218" s="85">
        <v>3.3223780768115829E-2</v>
      </c>
      <c r="AD218" s="74">
        <v>0.50812008037058576</v>
      </c>
      <c r="AE218" s="80"/>
      <c r="AF218" s="79"/>
      <c r="AG218" s="79"/>
      <c r="AH218" s="79"/>
      <c r="AI218" s="79"/>
      <c r="AJ218" s="71"/>
      <c r="AK218" s="72"/>
      <c r="AL218" s="73">
        <v>0.68630000000000002</v>
      </c>
      <c r="AM218" s="74"/>
      <c r="AN218" s="75">
        <v>0.5</v>
      </c>
    </row>
    <row r="219" spans="1:40" ht="15.6" x14ac:dyDescent="0.3">
      <c r="A219" s="29">
        <v>1993</v>
      </c>
      <c r="B219" s="76">
        <v>57.249561999999997</v>
      </c>
      <c r="C219" s="82">
        <f t="shared" si="50"/>
        <v>43.702194198251362</v>
      </c>
      <c r="D219" s="73">
        <v>0.76336294412612915</v>
      </c>
      <c r="E219" s="73">
        <v>0.36518284678459167</v>
      </c>
      <c r="F219" s="73">
        <v>6.0715530067682266E-2</v>
      </c>
      <c r="G219" s="73">
        <v>4.674825444817543E-2</v>
      </c>
      <c r="H219" s="73">
        <v>3.3729709684848785E-2</v>
      </c>
      <c r="I219" s="82">
        <f t="shared" si="51"/>
        <v>41.664524197069497</v>
      </c>
      <c r="J219" s="83">
        <f t="shared" si="43"/>
        <v>0.95337373698130246</v>
      </c>
      <c r="K219" s="84">
        <f>(1-1.1*F219)</f>
        <v>0.93321291692554953</v>
      </c>
      <c r="L219" s="82">
        <v>37.872225999999998</v>
      </c>
      <c r="M219" s="82">
        <v>26.248463000000001</v>
      </c>
      <c r="N219" s="82">
        <v>24.869312000000001</v>
      </c>
      <c r="O219" s="73">
        <f t="shared" ref="O219" si="54">L219/I219</f>
        <v>0.90898016309673269</v>
      </c>
      <c r="P219" s="83">
        <f>M219/L219</f>
        <v>0.69307948785476725</v>
      </c>
      <c r="Q219" s="83">
        <f t="shared" ref="Q219" si="55">P219*O219</f>
        <v>0.62999550590922626</v>
      </c>
      <c r="R219" s="83">
        <f>(M219-N219)/M219</f>
        <v>5.2542162182981918E-2</v>
      </c>
      <c r="S219" s="80"/>
      <c r="T219" s="79"/>
      <c r="U219" s="79"/>
      <c r="V219" s="79"/>
      <c r="W219" s="79"/>
      <c r="X219" s="71"/>
      <c r="Y219" s="80"/>
      <c r="Z219" s="79"/>
      <c r="AA219" s="79"/>
      <c r="AB219" s="73"/>
      <c r="AC219" s="79"/>
      <c r="AD219" s="74"/>
      <c r="AE219" s="80"/>
      <c r="AF219" s="79"/>
      <c r="AG219" s="79"/>
      <c r="AH219" s="79"/>
      <c r="AI219" s="79"/>
      <c r="AJ219" s="71"/>
      <c r="AK219" s="72"/>
      <c r="AL219" s="73"/>
      <c r="AM219" s="74"/>
      <c r="AN219" s="75">
        <v>0.5</v>
      </c>
    </row>
    <row r="220" spans="1:40" ht="15.6" x14ac:dyDescent="0.3">
      <c r="A220" s="29">
        <v>1994</v>
      </c>
      <c r="B220" s="76">
        <v>57.461053999999997</v>
      </c>
      <c r="C220" s="82">
        <f t="shared" si="50"/>
        <v>43.957006799087758</v>
      </c>
      <c r="D220" s="73">
        <v>0.76498782634735107</v>
      </c>
      <c r="E220" s="73">
        <v>0.36590257287025452</v>
      </c>
      <c r="F220" s="73">
        <v>5.9871919453144073E-2</v>
      </c>
      <c r="G220" s="73">
        <v>4.6811811625957489E-2</v>
      </c>
      <c r="H220" s="73">
        <v>3.3852789551019669E-2</v>
      </c>
      <c r="I220" s="82">
        <f t="shared" si="51"/>
        <v>41.945094675040636</v>
      </c>
      <c r="J220" s="83">
        <f t="shared" si="43"/>
        <v>0.95423000175505868</v>
      </c>
      <c r="K220" s="84">
        <f>(1-1.09*F220)</f>
        <v>0.93473960779607301</v>
      </c>
      <c r="L220" s="77"/>
      <c r="M220" s="77"/>
      <c r="N220" s="77"/>
      <c r="O220" s="77"/>
      <c r="P220" s="83"/>
      <c r="Q220" s="83"/>
      <c r="R220" s="87"/>
      <c r="S220" s="80"/>
      <c r="T220" s="79"/>
      <c r="U220" s="79"/>
      <c r="V220" s="79"/>
      <c r="W220" s="79"/>
      <c r="X220" s="71"/>
      <c r="Y220" s="80"/>
      <c r="Z220" s="79"/>
      <c r="AA220" s="79"/>
      <c r="AB220" s="73"/>
      <c r="AC220" s="79"/>
      <c r="AD220" s="74"/>
      <c r="AE220" s="109">
        <v>38.885523999999997</v>
      </c>
      <c r="AF220" s="110">
        <v>20.937275</v>
      </c>
      <c r="AG220" s="110">
        <v>19.840710999999999</v>
      </c>
      <c r="AH220" s="83">
        <f>AF220/AE220</f>
        <v>0.53843365978557989</v>
      </c>
      <c r="AI220" s="83"/>
      <c r="AJ220" s="74">
        <f>(AF220-AG220)/AF220</f>
        <v>5.2373768792739306E-2</v>
      </c>
      <c r="AK220" s="72"/>
      <c r="AL220" s="73"/>
      <c r="AM220" s="74">
        <f>AH220</f>
        <v>0.53843365978557989</v>
      </c>
      <c r="AN220" s="75">
        <v>0.5</v>
      </c>
    </row>
    <row r="221" spans="1:40" ht="15.6" x14ac:dyDescent="0.3">
      <c r="A221" s="29">
        <v>1995</v>
      </c>
      <c r="B221" s="76">
        <v>57.672496000000002</v>
      </c>
      <c r="C221" s="82">
        <f t="shared" si="50"/>
        <v>44.210928346680646</v>
      </c>
      <c r="D221" s="73">
        <v>0.76658600568771362</v>
      </c>
      <c r="E221" s="73">
        <v>0.3666054904460907</v>
      </c>
      <c r="F221" s="73">
        <v>5.904768779873848E-2</v>
      </c>
      <c r="G221" s="73">
        <v>4.6875204890966415E-2</v>
      </c>
      <c r="H221" s="73">
        <v>3.3974982798099518E-2</v>
      </c>
      <c r="I221" s="82">
        <f t="shared" si="51"/>
        <v>42.224380881159043</v>
      </c>
      <c r="J221" s="83">
        <f t="shared" si="43"/>
        <v>0.95506659688428019</v>
      </c>
      <c r="K221" s="84">
        <f>(1-1.09*F221)</f>
        <v>0.93563802029937504</v>
      </c>
      <c r="L221" s="77"/>
      <c r="M221" s="77"/>
      <c r="N221" s="77"/>
      <c r="O221" s="77"/>
      <c r="P221" s="83"/>
      <c r="Q221" s="83"/>
      <c r="R221" s="87"/>
      <c r="S221" s="76">
        <v>38.557119999999998</v>
      </c>
      <c r="T221" s="82">
        <v>30.646719000000001</v>
      </c>
      <c r="U221" s="82">
        <v>29.794739</v>
      </c>
      <c r="V221" s="73">
        <f>T221/S221</f>
        <v>0.79483942265397423</v>
      </c>
      <c r="W221" s="83">
        <f>V221*S221/I221</f>
        <v>0.72580623707084091</v>
      </c>
      <c r="X221" s="74">
        <f>(T221-U221)/T221</f>
        <v>2.7800039540937516E-2</v>
      </c>
      <c r="Y221" s="80"/>
      <c r="Z221" s="79"/>
      <c r="AA221" s="79"/>
      <c r="AB221" s="73"/>
      <c r="AC221" s="79"/>
      <c r="AD221" s="74"/>
      <c r="AE221" s="80"/>
      <c r="AF221" s="79"/>
      <c r="AG221" s="79"/>
      <c r="AH221" s="79"/>
      <c r="AI221" s="79"/>
      <c r="AJ221" s="71"/>
      <c r="AK221" s="72">
        <v>0.69399999999999995</v>
      </c>
      <c r="AL221" s="73"/>
      <c r="AM221" s="74"/>
      <c r="AN221" s="75">
        <v>0.5</v>
      </c>
    </row>
    <row r="222" spans="1:40" ht="15.6" x14ac:dyDescent="0.3">
      <c r="A222" s="29">
        <v>1996</v>
      </c>
      <c r="B222" s="76">
        <v>57.883988000000002</v>
      </c>
      <c r="C222" s="82">
        <f t="shared" si="50"/>
        <v>44.465767707072978</v>
      </c>
      <c r="D222" s="73">
        <v>0.76818770170211792</v>
      </c>
      <c r="E222" s="73">
        <v>0.36731496453285217</v>
      </c>
      <c r="F222" s="73">
        <v>5.821632593870163E-2</v>
      </c>
      <c r="G222" s="73">
        <v>4.6937834471464157E-2</v>
      </c>
      <c r="H222" s="73">
        <v>3.4096267074346542E-2</v>
      </c>
      <c r="I222" s="82">
        <f t="shared" si="51"/>
        <v>42.505291092340272</v>
      </c>
      <c r="J222" s="83">
        <f t="shared" si="43"/>
        <v>0.9559104291722178</v>
      </c>
      <c r="K222" s="84">
        <f>(1-1.08*F222)</f>
        <v>0.93712636798620219</v>
      </c>
      <c r="L222" s="77"/>
      <c r="M222" s="77"/>
      <c r="N222" s="77"/>
      <c r="O222" s="77"/>
      <c r="P222" s="83"/>
      <c r="Q222" s="83"/>
      <c r="R222" s="87"/>
      <c r="S222" s="80"/>
      <c r="T222" s="79"/>
      <c r="U222" s="79"/>
      <c r="V222" s="79"/>
      <c r="W222" s="79"/>
      <c r="X222" s="71"/>
      <c r="Y222" s="80"/>
      <c r="Z222" s="79"/>
      <c r="AA222" s="79"/>
      <c r="AB222" s="73"/>
      <c r="AC222" s="79"/>
      <c r="AD222" s="74"/>
      <c r="AE222" s="80"/>
      <c r="AF222" s="79"/>
      <c r="AG222" s="79"/>
      <c r="AH222" s="79"/>
      <c r="AI222" s="79"/>
      <c r="AJ222" s="71"/>
      <c r="AK222" s="72"/>
      <c r="AL222" s="73"/>
      <c r="AM222" s="74"/>
      <c r="AN222" s="75">
        <v>0.5</v>
      </c>
    </row>
    <row r="223" spans="1:40" ht="15.6" x14ac:dyDescent="0.3">
      <c r="A223" s="29">
        <v>1997</v>
      </c>
      <c r="B223" s="76">
        <v>58.095508000000002</v>
      </c>
      <c r="C223" s="82">
        <f t="shared" si="50"/>
        <v>44.720028354134087</v>
      </c>
      <c r="D223" s="73">
        <v>0.7697674036026001</v>
      </c>
      <c r="E223" s="73">
        <v>0.36800810694694519</v>
      </c>
      <c r="F223" s="73">
        <v>5.7397041469812393E-2</v>
      </c>
      <c r="G223" s="73">
        <v>4.7000259160995483E-2</v>
      </c>
      <c r="H223" s="73">
        <v>3.4216895699501038E-2</v>
      </c>
      <c r="I223" s="82">
        <f t="shared" si="51"/>
        <v>42.785529497643076</v>
      </c>
      <c r="J223" s="83">
        <f t="shared" si="43"/>
        <v>0.95674200290814038</v>
      </c>
      <c r="K223" s="84">
        <f>(1-1.08*F223)</f>
        <v>0.93801119521260257</v>
      </c>
      <c r="L223" s="82">
        <v>38.006621000000003</v>
      </c>
      <c r="M223" s="82">
        <v>26.021601</v>
      </c>
      <c r="N223" s="82">
        <v>24.761581</v>
      </c>
      <c r="O223" s="73">
        <f t="shared" ref="O223" si="56">L223/I223</f>
        <v>0.88830549595263675</v>
      </c>
      <c r="P223" s="83">
        <f>M223/L223</f>
        <v>0.6846596807435209</v>
      </c>
      <c r="Q223" s="83">
        <f t="shared" ref="Q223" si="57">P223*O223</f>
        <v>0.60818695726164729</v>
      </c>
      <c r="R223" s="83">
        <f>(M223-N223)/M223</f>
        <v>4.8422078257214105E-2</v>
      </c>
      <c r="S223" s="80"/>
      <c r="T223" s="79"/>
      <c r="U223" s="79"/>
      <c r="V223" s="79"/>
      <c r="W223" s="79"/>
      <c r="X223" s="71"/>
      <c r="Y223" s="80"/>
      <c r="Z223" s="79"/>
      <c r="AA223" s="79"/>
      <c r="AB223" s="73"/>
      <c r="AC223" s="79"/>
      <c r="AD223" s="74"/>
      <c r="AE223" s="80"/>
      <c r="AF223" s="79"/>
      <c r="AG223" s="79"/>
      <c r="AH223" s="79"/>
      <c r="AI223" s="79"/>
      <c r="AJ223" s="71"/>
      <c r="AK223" s="72"/>
      <c r="AL223" s="73"/>
      <c r="AM223" s="74"/>
      <c r="AN223" s="75">
        <v>0.5</v>
      </c>
    </row>
    <row r="224" spans="1:40" ht="15.6" x14ac:dyDescent="0.3">
      <c r="A224" s="29">
        <v>1998</v>
      </c>
      <c r="B224" s="76">
        <v>58.306888000000001</v>
      </c>
      <c r="C224" s="82">
        <f t="shared" si="50"/>
        <v>44.975078663541318</v>
      </c>
      <c r="D224" s="73">
        <v>0.77135103940963745</v>
      </c>
      <c r="E224" s="73">
        <v>0.36871540546417236</v>
      </c>
      <c r="F224" s="73">
        <v>5.6581743061542511E-2</v>
      </c>
      <c r="G224" s="73">
        <v>4.7061868011951447E-2</v>
      </c>
      <c r="H224" s="73">
        <v>3.4336268901824951E-2</v>
      </c>
      <c r="I224" s="82">
        <f t="shared" si="51"/>
        <v>43.066764973204577</v>
      </c>
      <c r="J224" s="83">
        <f t="shared" si="43"/>
        <v>0.95756953079253426</v>
      </c>
      <c r="K224" s="84">
        <f>(1-1.07*F224)</f>
        <v>0.93945753492414952</v>
      </c>
      <c r="L224" s="77"/>
      <c r="M224" s="77"/>
      <c r="N224" s="77"/>
      <c r="O224" s="77"/>
      <c r="P224" s="83"/>
      <c r="Q224" s="83"/>
      <c r="R224" s="87"/>
      <c r="S224" s="80"/>
      <c r="T224" s="79"/>
      <c r="U224" s="79"/>
      <c r="V224" s="79"/>
      <c r="W224" s="79"/>
      <c r="X224" s="71"/>
      <c r="Y224" s="80"/>
      <c r="Z224" s="79"/>
      <c r="AA224" s="79"/>
      <c r="AB224" s="73"/>
      <c r="AC224" s="79"/>
      <c r="AD224" s="74"/>
      <c r="AE224" s="80"/>
      <c r="AF224" s="79"/>
      <c r="AG224" s="79"/>
      <c r="AH224" s="79"/>
      <c r="AI224" s="79"/>
      <c r="AJ224" s="71"/>
      <c r="AK224" s="72"/>
      <c r="AL224" s="73">
        <v>0.58030000000000004</v>
      </c>
      <c r="AM224" s="74"/>
      <c r="AN224" s="75">
        <v>0.5</v>
      </c>
    </row>
    <row r="225" spans="1:40" ht="15.6" x14ac:dyDescent="0.3">
      <c r="A225" s="29">
        <v>1999</v>
      </c>
      <c r="B225" s="76">
        <v>58.518394999999998</v>
      </c>
      <c r="C225" s="82">
        <f t="shared" si="50"/>
        <v>45.229466566585899</v>
      </c>
      <c r="D225" s="73">
        <v>0.77291023731231689</v>
      </c>
      <c r="E225" s="73">
        <v>0.36940509080886841</v>
      </c>
      <c r="F225" s="73">
        <v>5.5761236697435379E-2</v>
      </c>
      <c r="G225" s="73">
        <v>4.7123506665229797E-2</v>
      </c>
      <c r="H225" s="73">
        <v>3.4455198794603348E-2</v>
      </c>
      <c r="I225" s="82">
        <f t="shared" si="51"/>
        <v>43.348026809302773</v>
      </c>
      <c r="J225" s="83">
        <f t="shared" si="43"/>
        <v>0.95840234475210295</v>
      </c>
      <c r="K225" s="84">
        <f>(1-1.07*F225)</f>
        <v>0.94033547673374418</v>
      </c>
      <c r="L225" s="77"/>
      <c r="M225" s="77"/>
      <c r="N225" s="77"/>
      <c r="O225" s="77"/>
      <c r="P225" s="83"/>
      <c r="Q225" s="83"/>
      <c r="R225" s="87"/>
      <c r="S225" s="80"/>
      <c r="T225" s="79"/>
      <c r="U225" s="79"/>
      <c r="V225" s="79"/>
      <c r="W225" s="79"/>
      <c r="X225" s="71"/>
      <c r="Y225" s="80"/>
      <c r="Z225" s="79"/>
      <c r="AA225" s="79"/>
      <c r="AB225" s="73"/>
      <c r="AC225" s="79"/>
      <c r="AD225" s="74"/>
      <c r="AE225" s="76">
        <v>40.279600000000002</v>
      </c>
      <c r="AF225" s="82">
        <v>19.247530999999999</v>
      </c>
      <c r="AG225" s="82">
        <v>18.133222</v>
      </c>
      <c r="AH225" s="83">
        <f>AF225/AE225</f>
        <v>0.47784811666451499</v>
      </c>
      <c r="AI225" s="83"/>
      <c r="AJ225" s="74">
        <f>(AF225-AG225)/AF225</f>
        <v>5.7893607237208697E-2</v>
      </c>
      <c r="AK225" s="72"/>
      <c r="AL225" s="73"/>
      <c r="AM225" s="74">
        <f>AH225</f>
        <v>0.47784811666451499</v>
      </c>
      <c r="AN225" s="75">
        <v>0.5</v>
      </c>
    </row>
    <row r="226" spans="1:40" ht="15.6" x14ac:dyDescent="0.3">
      <c r="A226" s="29">
        <v>2000</v>
      </c>
      <c r="B226" s="76">
        <v>58.930332999999997</v>
      </c>
      <c r="C226" s="82">
        <f t="shared" si="50"/>
        <v>45.612870925569709</v>
      </c>
      <c r="D226" s="73">
        <v>0.7740134596824646</v>
      </c>
      <c r="E226" s="73">
        <v>0.36973387002944946</v>
      </c>
      <c r="F226" s="73">
        <v>5.6071322411298752E-2</v>
      </c>
      <c r="G226" s="73">
        <v>4.7024000436067581E-2</v>
      </c>
      <c r="H226" s="73">
        <v>3.4593135118484497E-2</v>
      </c>
      <c r="I226" s="82">
        <f t="shared" si="51"/>
        <v>43.701126387804088</v>
      </c>
      <c r="J226" s="83">
        <f t="shared" si="43"/>
        <v>0.95808760775253166</v>
      </c>
      <c r="K226" s="84">
        <f>(1-1.06*F226)</f>
        <v>0.94056439824402327</v>
      </c>
      <c r="L226" s="77"/>
      <c r="M226" s="77"/>
      <c r="N226" s="77"/>
      <c r="O226" s="77"/>
      <c r="P226" s="83"/>
      <c r="Q226" s="83"/>
      <c r="R226" s="87"/>
      <c r="S226" s="80"/>
      <c r="T226" s="79"/>
      <c r="U226" s="79"/>
      <c r="V226" s="79"/>
      <c r="W226" s="79"/>
      <c r="X226" s="71"/>
      <c r="Y226" s="80"/>
      <c r="Z226" s="79"/>
      <c r="AA226" s="79"/>
      <c r="AB226" s="73">
        <v>0.307</v>
      </c>
      <c r="AC226" s="85">
        <v>0.16200000000000001</v>
      </c>
      <c r="AD226" s="74">
        <v>0.72899999999999998</v>
      </c>
      <c r="AE226" s="80"/>
      <c r="AF226" s="79"/>
      <c r="AG226" s="79"/>
      <c r="AH226" s="79"/>
      <c r="AI226" s="79"/>
      <c r="AJ226" s="71"/>
      <c r="AK226" s="72"/>
      <c r="AL226" s="73"/>
      <c r="AM226" s="74"/>
      <c r="AN226" s="75">
        <v>0.5</v>
      </c>
    </row>
    <row r="227" spans="1:40" ht="15.6" x14ac:dyDescent="0.3">
      <c r="A227" s="29">
        <v>2001</v>
      </c>
      <c r="B227" s="76">
        <v>59.341504999999998</v>
      </c>
      <c r="C227" s="82">
        <f t="shared" si="50"/>
        <v>45.994210042872126</v>
      </c>
      <c r="D227" s="73">
        <v>0.77507656812667847</v>
      </c>
      <c r="E227" s="73">
        <v>0.37004417181015015</v>
      </c>
      <c r="F227" s="73">
        <v>5.6370250880718231E-2</v>
      </c>
      <c r="G227" s="73">
        <v>4.6925537288188934E-2</v>
      </c>
      <c r="H227" s="73">
        <v>3.4729737788438797E-2</v>
      </c>
      <c r="I227" s="82">
        <f t="shared" si="51"/>
        <v>44.052527456950401</v>
      </c>
      <c r="J227" s="83">
        <f t="shared" si="43"/>
        <v>0.95778419535607107</v>
      </c>
      <c r="K227" s="84">
        <f>(1-1.06*F227)</f>
        <v>0.94024753406643868</v>
      </c>
      <c r="L227" s="77"/>
      <c r="M227" s="77"/>
      <c r="N227" s="77"/>
      <c r="O227" s="77"/>
      <c r="P227" s="83"/>
      <c r="Q227" s="83"/>
      <c r="R227" s="87"/>
      <c r="S227" s="80"/>
      <c r="T227" s="79"/>
      <c r="U227" s="79"/>
      <c r="V227" s="79"/>
      <c r="W227" s="79"/>
      <c r="X227" s="71"/>
      <c r="Y227" s="80"/>
      <c r="Z227" s="79"/>
      <c r="AA227" s="79"/>
      <c r="AB227" s="73"/>
      <c r="AC227" s="79"/>
      <c r="AD227" s="74"/>
      <c r="AE227" s="80"/>
      <c r="AF227" s="79"/>
      <c r="AG227" s="79"/>
      <c r="AH227" s="79"/>
      <c r="AI227" s="79"/>
      <c r="AJ227" s="71"/>
      <c r="AK227" s="72">
        <v>0.61460000000000004</v>
      </c>
      <c r="AL227" s="73"/>
      <c r="AM227" s="74"/>
      <c r="AN227" s="75">
        <v>0.5</v>
      </c>
    </row>
    <row r="228" spans="1:40" ht="15.6" x14ac:dyDescent="0.3">
      <c r="A228" s="29">
        <v>2002</v>
      </c>
      <c r="B228" s="76">
        <v>59.753442999999997</v>
      </c>
      <c r="C228" s="82">
        <f t="shared" si="50"/>
        <v>46.375664522574482</v>
      </c>
      <c r="D228" s="73">
        <v>0.77611702680587769</v>
      </c>
      <c r="E228" s="73">
        <v>0.37033942341804504</v>
      </c>
      <c r="F228" s="73">
        <v>5.6590728461742401E-2</v>
      </c>
      <c r="G228" s="73">
        <v>4.6828765422105789E-2</v>
      </c>
      <c r="H228" s="73">
        <v>3.4863881766796112E-2</v>
      </c>
      <c r="I228" s="82">
        <f t="shared" si="51"/>
        <v>44.407500362609774</v>
      </c>
      <c r="J228" s="83">
        <f t="shared" si="43"/>
        <v>0.95756041061133135</v>
      </c>
      <c r="K228" s="84">
        <f>(1-1.05*F228)</f>
        <v>0.94057973511517046</v>
      </c>
      <c r="L228" s="82">
        <v>39.586934999999997</v>
      </c>
      <c r="M228" s="82">
        <v>25.781783999999998</v>
      </c>
      <c r="N228" s="82">
        <v>25.246638000000001</v>
      </c>
      <c r="O228" s="73">
        <f t="shared" ref="O228" si="58">L228/I228</f>
        <v>0.89144704558357446</v>
      </c>
      <c r="P228" s="83">
        <f>M228/L228</f>
        <v>0.65127002128353706</v>
      </c>
      <c r="Q228" s="83">
        <f t="shared" ref="Q228" si="59">P228*O228</f>
        <v>0.58057273635036077</v>
      </c>
      <c r="R228" s="83">
        <f>(M228-N228)/M228</f>
        <v>2.0756748252952453E-2</v>
      </c>
      <c r="S228" s="76">
        <v>39.430008000000001</v>
      </c>
      <c r="T228" s="82">
        <v>28.722698000000001</v>
      </c>
      <c r="U228" s="82">
        <v>27.755946999999999</v>
      </c>
      <c r="V228" s="73">
        <f>T228/S228</f>
        <v>0.72844768380467995</v>
      </c>
      <c r="W228" s="83">
        <f>V228*$O228</f>
        <v>0.64937253558987973</v>
      </c>
      <c r="X228" s="74">
        <f>(T228-U228)/T228</f>
        <v>3.3658084627008304E-2</v>
      </c>
      <c r="Y228" s="80"/>
      <c r="Z228" s="79"/>
      <c r="AA228" s="79"/>
      <c r="AB228" s="73"/>
      <c r="AC228" s="79"/>
      <c r="AD228" s="74"/>
      <c r="AE228" s="80"/>
      <c r="AF228" s="79"/>
      <c r="AG228" s="79"/>
      <c r="AH228" s="79"/>
      <c r="AI228" s="79"/>
      <c r="AJ228" s="71"/>
      <c r="AK228" s="72"/>
      <c r="AL228" s="73"/>
      <c r="AM228" s="74"/>
      <c r="AN228" s="75">
        <v>0.5</v>
      </c>
    </row>
    <row r="229" spans="1:40" ht="15.6" x14ac:dyDescent="0.3">
      <c r="A229" s="29">
        <v>2003</v>
      </c>
      <c r="B229" s="76">
        <v>60.164684999999999</v>
      </c>
      <c r="C229" s="82">
        <f t="shared" si="50"/>
        <v>46.757091044512691</v>
      </c>
      <c r="D229" s="73">
        <v>0.77715176343917847</v>
      </c>
      <c r="E229" s="73">
        <v>0.37064003944396973</v>
      </c>
      <c r="F229" s="73">
        <v>5.6946069002151489E-2</v>
      </c>
      <c r="G229" s="73">
        <v>4.6733077615499496E-2</v>
      </c>
      <c r="H229" s="73">
        <v>3.4996528178453445E-2</v>
      </c>
      <c r="I229" s="82">
        <f t="shared" si="51"/>
        <v>44.755875389225267</v>
      </c>
      <c r="J229" s="83">
        <f t="shared" si="43"/>
        <v>0.95719973996281615</v>
      </c>
      <c r="K229" s="84">
        <f>(1-1.05*F229)</f>
        <v>0.94020662754774098</v>
      </c>
      <c r="L229" s="77"/>
      <c r="M229" s="77"/>
      <c r="N229" s="77"/>
      <c r="O229" s="77"/>
      <c r="P229" s="83"/>
      <c r="Q229" s="83"/>
      <c r="R229" s="87"/>
      <c r="S229" s="80"/>
      <c r="T229" s="79"/>
      <c r="U229" s="79"/>
      <c r="V229" s="79"/>
      <c r="W229" s="79"/>
      <c r="X229" s="71"/>
      <c r="Y229" s="80"/>
      <c r="Z229" s="79"/>
      <c r="AA229" s="79"/>
      <c r="AB229" s="73"/>
      <c r="AC229" s="79"/>
      <c r="AD229" s="74"/>
      <c r="AE229" s="80"/>
      <c r="AF229" s="79"/>
      <c r="AG229" s="79"/>
      <c r="AH229" s="79"/>
      <c r="AI229" s="79"/>
      <c r="AJ229" s="71"/>
      <c r="AK229" s="72"/>
      <c r="AL229" s="73"/>
      <c r="AM229" s="74"/>
      <c r="AN229" s="75">
        <v>0.5</v>
      </c>
    </row>
    <row r="230" spans="1:40" ht="15.6" x14ac:dyDescent="0.3">
      <c r="A230" s="29">
        <v>2004</v>
      </c>
      <c r="B230" s="76">
        <v>60.576622999999998</v>
      </c>
      <c r="C230" s="82">
        <f t="shared" si="50"/>
        <v>47.138585130728956</v>
      </c>
      <c r="D230" s="73">
        <v>0.77816462516784668</v>
      </c>
      <c r="E230" s="73">
        <v>0.37092962861061096</v>
      </c>
      <c r="F230" s="73">
        <v>5.7094499468803406E-2</v>
      </c>
      <c r="G230" s="73">
        <v>4.6638932079076767E-2</v>
      </c>
      <c r="H230" s="73">
        <v>3.5127032548189163E-2</v>
      </c>
      <c r="I230" s="82">
        <f t="shared" si="51"/>
        <v>45.113939675127746</v>
      </c>
      <c r="J230" s="83">
        <f t="shared" si="43"/>
        <v>0.95704908303916458</v>
      </c>
      <c r="K230" s="84">
        <f>(1-1.04*F230)</f>
        <v>0.94062172055244442</v>
      </c>
      <c r="L230" s="77"/>
      <c r="M230" s="77"/>
      <c r="N230" s="77"/>
      <c r="O230" s="77"/>
      <c r="P230" s="83"/>
      <c r="Q230" s="83"/>
      <c r="R230" s="87"/>
      <c r="S230" s="80"/>
      <c r="T230" s="79"/>
      <c r="U230" s="79"/>
      <c r="V230" s="79"/>
      <c r="W230" s="79"/>
      <c r="X230" s="71"/>
      <c r="Y230" s="80"/>
      <c r="Z230" s="79"/>
      <c r="AA230" s="79"/>
      <c r="AB230" s="73"/>
      <c r="AC230" s="79"/>
      <c r="AD230" s="74"/>
      <c r="AE230" s="76">
        <v>41.886125</v>
      </c>
      <c r="AF230" s="82">
        <v>18.201533999999999</v>
      </c>
      <c r="AG230" s="82">
        <v>17.621949999999998</v>
      </c>
      <c r="AH230" s="83">
        <f>AF230/AE230</f>
        <v>0.43454805141320663</v>
      </c>
      <c r="AI230" s="83"/>
      <c r="AJ230" s="74">
        <f>(AF230-AG230)/AF230</f>
        <v>3.184259084976028E-2</v>
      </c>
      <c r="AK230" s="72"/>
      <c r="AL230" s="73">
        <v>0.60840000000000005</v>
      </c>
      <c r="AM230" s="74">
        <f>AH230</f>
        <v>0.43454805141320663</v>
      </c>
      <c r="AN230" s="75">
        <v>0.5</v>
      </c>
    </row>
    <row r="231" spans="1:40" ht="15.6" x14ac:dyDescent="0.3">
      <c r="A231" s="29">
        <v>2005</v>
      </c>
      <c r="B231" s="76">
        <v>60.987794999999998</v>
      </c>
      <c r="C231" s="82">
        <f t="shared" si="50"/>
        <v>47.519557091885801</v>
      </c>
      <c r="D231" s="73">
        <v>0.77916502952575684</v>
      </c>
      <c r="E231" s="73">
        <v>0.37121990323066711</v>
      </c>
      <c r="F231" s="73">
        <v>5.7375047355890274E-2</v>
      </c>
      <c r="G231" s="73">
        <v>4.6545721590518951E-2</v>
      </c>
      <c r="H231" s="73">
        <v>3.5256348550319672E-2</v>
      </c>
      <c r="I231" s="82">
        <f t="shared" si="51"/>
        <v>45.465017057209032</v>
      </c>
      <c r="J231" s="83">
        <f t="shared" si="43"/>
        <v>0.95676432693377123</v>
      </c>
      <c r="K231" s="84">
        <f>(1-1.04*F231)</f>
        <v>0.94032995074987413</v>
      </c>
      <c r="L231" s="77"/>
      <c r="M231" s="77"/>
      <c r="N231" s="77"/>
      <c r="O231" s="77"/>
      <c r="P231" s="83"/>
      <c r="Q231" s="83"/>
      <c r="R231" s="87"/>
      <c r="S231" s="80"/>
      <c r="T231" s="79"/>
      <c r="U231" s="79"/>
      <c r="V231" s="79"/>
      <c r="W231" s="79"/>
      <c r="X231" s="71"/>
      <c r="Y231" s="76">
        <v>39.885764999999999</v>
      </c>
      <c r="Z231" s="82">
        <f>AB231*Y231</f>
        <v>28.314485999999999</v>
      </c>
      <c r="AA231" s="82">
        <f>(1-AC231)*Z231</f>
        <v>27.617604999999998</v>
      </c>
      <c r="AB231" s="73">
        <v>0.70988950569206832</v>
      </c>
      <c r="AC231" s="85">
        <v>2.461217201682564E-2</v>
      </c>
      <c r="AD231" s="74">
        <v>0.44950324258747276</v>
      </c>
      <c r="AE231" s="80"/>
      <c r="AF231" s="79"/>
      <c r="AG231" s="79"/>
      <c r="AH231" s="79"/>
      <c r="AI231" s="79"/>
      <c r="AJ231" s="71"/>
      <c r="AK231" s="72"/>
      <c r="AL231" s="73"/>
      <c r="AM231" s="74"/>
      <c r="AN231" s="75">
        <v>0.5</v>
      </c>
    </row>
    <row r="232" spans="1:40" ht="15.6" x14ac:dyDescent="0.3">
      <c r="A232" s="29">
        <v>2006</v>
      </c>
      <c r="B232" s="76">
        <v>61.399732999999998</v>
      </c>
      <c r="C232" s="82">
        <f t="shared" si="50"/>
        <v>47.901063686641812</v>
      </c>
      <c r="D232" s="73">
        <v>0.78015100955963135</v>
      </c>
      <c r="E232" s="73">
        <v>0.37150412797927856</v>
      </c>
      <c r="F232" s="73">
        <v>5.7586051523685455E-2</v>
      </c>
      <c r="G232" s="73">
        <v>4.6454094350337982E-2</v>
      </c>
      <c r="H232" s="73">
        <v>3.5383362323045731E-2</v>
      </c>
      <c r="I232" s="82">
        <f t="shared" si="51"/>
        <v>45.819770023620663</v>
      </c>
      <c r="J232" s="83">
        <f t="shared" si="43"/>
        <v>0.95655015770345908</v>
      </c>
      <c r="K232" s="84">
        <f>(1-1.03*F232)</f>
        <v>0.94068636693060403</v>
      </c>
      <c r="L232" s="77"/>
      <c r="M232" s="77"/>
      <c r="N232" s="77"/>
      <c r="O232" s="77"/>
      <c r="P232" s="83"/>
      <c r="Q232" s="83"/>
      <c r="R232" s="87"/>
      <c r="S232" s="80"/>
      <c r="T232" s="79"/>
      <c r="U232" s="79"/>
      <c r="V232" s="79"/>
      <c r="W232" s="79"/>
      <c r="X232" s="71"/>
      <c r="Y232" s="80"/>
      <c r="Z232" s="79"/>
      <c r="AA232" s="79"/>
      <c r="AB232" s="73"/>
      <c r="AC232" s="79"/>
      <c r="AD232" s="74"/>
      <c r="AE232" s="80"/>
      <c r="AF232" s="79"/>
      <c r="AG232" s="79"/>
      <c r="AH232" s="79"/>
      <c r="AI232" s="79"/>
      <c r="AJ232" s="71"/>
      <c r="AK232" s="72"/>
      <c r="AL232" s="73"/>
      <c r="AM232" s="74"/>
      <c r="AN232" s="75">
        <v>0.5</v>
      </c>
    </row>
    <row r="233" spans="1:40" ht="15.6" x14ac:dyDescent="0.3">
      <c r="A233" s="29">
        <v>2007</v>
      </c>
      <c r="B233" s="76">
        <v>61.795237999999998</v>
      </c>
      <c r="C233" s="82">
        <f t="shared" si="50"/>
        <v>48.206615435861707</v>
      </c>
      <c r="D233" s="73">
        <v>0.7801024317741394</v>
      </c>
      <c r="E233" s="73">
        <v>0.37153926491737366</v>
      </c>
      <c r="F233" s="73">
        <v>5.7792652398347855E-2</v>
      </c>
      <c r="G233" s="73">
        <v>4.6383362263441086E-2</v>
      </c>
      <c r="H233" s="73">
        <v>3.5515811294317245E-2</v>
      </c>
      <c r="I233" s="82">
        <f t="shared" si="51"/>
        <v>46.101936675676249</v>
      </c>
      <c r="J233" s="83">
        <f t="shared" si="43"/>
        <v>0.95634045781567667</v>
      </c>
      <c r="K233" s="84">
        <f>(1-1.03*F233)</f>
        <v>0.94047356802970172</v>
      </c>
      <c r="L233" s="82">
        <v>42.333717999999998</v>
      </c>
      <c r="M233" s="82">
        <v>25.817166</v>
      </c>
      <c r="N233" s="82">
        <v>25.353275</v>
      </c>
      <c r="O233" s="73">
        <f t="shared" ref="O233" si="60">L233/I233</f>
        <v>0.91826333235878144</v>
      </c>
      <c r="P233" s="83">
        <f>M233/L233</f>
        <v>0.60984877350012112</v>
      </c>
      <c r="Q233" s="83">
        <f t="shared" ref="Q233" si="61">P233*O233</f>
        <v>0.56000176698913695</v>
      </c>
      <c r="R233" s="83">
        <f>(M233-N233)/M233</f>
        <v>1.7968316119592688E-2</v>
      </c>
      <c r="S233" s="76">
        <v>42.091839999999998</v>
      </c>
      <c r="T233" s="82">
        <v>35.918585</v>
      </c>
      <c r="U233" s="82">
        <v>35.430284999999998</v>
      </c>
      <c r="V233" s="73">
        <f>T233/S233</f>
        <v>0.85333843804404852</v>
      </c>
      <c r="W233" s="83">
        <f>V233*$O233</f>
        <v>0.78358939774816549</v>
      </c>
      <c r="X233" s="74">
        <f>(T233-U233)/T233</f>
        <v>1.3594633530246317E-2</v>
      </c>
      <c r="Y233" s="80"/>
      <c r="Z233" s="79"/>
      <c r="AA233" s="79"/>
      <c r="AB233" s="73"/>
      <c r="AC233" s="79"/>
      <c r="AD233" s="74"/>
      <c r="AE233" s="80"/>
      <c r="AF233" s="79"/>
      <c r="AG233" s="79"/>
      <c r="AH233" s="79"/>
      <c r="AI233" s="79"/>
      <c r="AJ233" s="71"/>
      <c r="AK233" s="72"/>
      <c r="AL233" s="73"/>
      <c r="AM233" s="74"/>
      <c r="AN233" s="75">
        <v>0.5</v>
      </c>
    </row>
    <row r="234" spans="1:40" ht="15.6" x14ac:dyDescent="0.3">
      <c r="A234" s="29">
        <v>2008</v>
      </c>
      <c r="B234" s="76">
        <v>62.134866000000002</v>
      </c>
      <c r="C234" s="82">
        <f t="shared" si="50"/>
        <v>48.467404707697035</v>
      </c>
      <c r="D234" s="73">
        <v>0.78003555536270142</v>
      </c>
      <c r="E234" s="73">
        <v>0.37155720591545105</v>
      </c>
      <c r="F234" s="73">
        <v>5.8452069759368896E-2</v>
      </c>
      <c r="G234" s="73">
        <v>4.6339794993400574E-2</v>
      </c>
      <c r="H234" s="73">
        <v>3.5560499876737595E-2</v>
      </c>
      <c r="I234" s="82">
        <f t="shared" si="51"/>
        <v>46.318900355467164</v>
      </c>
      <c r="J234" s="83">
        <f t="shared" si="43"/>
        <v>0.95567114919424045</v>
      </c>
      <c r="K234" s="84">
        <f t="shared" ref="K234" si="62">(1-1.02*F234)</f>
        <v>0.94037888884544374</v>
      </c>
      <c r="L234" s="77"/>
      <c r="M234" s="77"/>
      <c r="N234" s="77"/>
      <c r="O234" s="77"/>
      <c r="P234" s="83"/>
      <c r="Q234" s="83"/>
      <c r="R234" s="87"/>
      <c r="S234" s="80"/>
      <c r="T234" s="79"/>
      <c r="U234" s="79"/>
      <c r="V234" s="79"/>
      <c r="W234" s="79"/>
      <c r="X234" s="71"/>
      <c r="Y234" s="80"/>
      <c r="Z234" s="79"/>
      <c r="AA234" s="79"/>
      <c r="AB234" s="73"/>
      <c r="AC234" s="79"/>
      <c r="AD234" s="74"/>
      <c r="AE234" s="80"/>
      <c r="AF234" s="79"/>
      <c r="AG234" s="79"/>
      <c r="AH234" s="79"/>
      <c r="AI234" s="79"/>
      <c r="AJ234" s="71"/>
      <c r="AK234" s="72">
        <v>0.61050000000000004</v>
      </c>
      <c r="AL234" s="73"/>
      <c r="AM234" s="74"/>
      <c r="AN234" s="75">
        <v>0.5</v>
      </c>
    </row>
    <row r="235" spans="1:40" ht="15.6" x14ac:dyDescent="0.3">
      <c r="A235" s="29">
        <v>2009</v>
      </c>
      <c r="B235" s="76">
        <v>62.465708999999997</v>
      </c>
      <c r="C235" s="82">
        <f t="shared" si="50"/>
        <v>48.721225786802528</v>
      </c>
      <c r="D235" s="73">
        <v>0.7799675464630127</v>
      </c>
      <c r="E235" s="73">
        <v>0.37157884240150452</v>
      </c>
      <c r="F235" s="73">
        <v>5.9085845947265625E-2</v>
      </c>
      <c r="G235" s="73">
        <v>4.623258113861084E-2</v>
      </c>
      <c r="H235" s="73">
        <v>3.5473879426717758E-2</v>
      </c>
      <c r="I235" s="82">
        <f t="shared" si="51"/>
        <v>46.530128309785589</v>
      </c>
      <c r="J235" s="83">
        <f t="shared" si="43"/>
        <v>0.95502786636352532</v>
      </c>
      <c r="K235" s="84">
        <f>(1-1.02*F235)</f>
        <v>0.93973243713378907</v>
      </c>
      <c r="L235" s="77"/>
      <c r="M235" s="77"/>
      <c r="N235" s="77"/>
      <c r="O235" s="77"/>
      <c r="P235" s="83"/>
      <c r="Q235" s="83"/>
      <c r="R235" s="87"/>
      <c r="S235" s="80"/>
      <c r="T235" s="79"/>
      <c r="U235" s="79"/>
      <c r="V235" s="79"/>
      <c r="W235" s="79"/>
      <c r="X235" s="71"/>
      <c r="Y235" s="80"/>
      <c r="Z235" s="79"/>
      <c r="AA235" s="79"/>
      <c r="AB235" s="73"/>
      <c r="AC235" s="79"/>
      <c r="AD235" s="74"/>
      <c r="AE235" s="76">
        <v>44.620863</v>
      </c>
      <c r="AF235" s="82">
        <v>18.513237</v>
      </c>
      <c r="AG235" s="82">
        <v>17.751237000007151</v>
      </c>
      <c r="AH235" s="83">
        <f>AF235/AE235</f>
        <v>0.41490091753716196</v>
      </c>
      <c r="AI235" s="83"/>
      <c r="AJ235" s="74">
        <f>(AF235-AG235)/AF235</f>
        <v>4.1159738839450323E-2</v>
      </c>
      <c r="AK235" s="72"/>
      <c r="AL235" s="73"/>
      <c r="AM235" s="74">
        <f>AH235</f>
        <v>0.41490091753716196</v>
      </c>
      <c r="AN235" s="75">
        <v>0.5</v>
      </c>
    </row>
    <row r="236" spans="1:40" ht="15.6" x14ac:dyDescent="0.3">
      <c r="A236" s="29">
        <v>2010</v>
      </c>
      <c r="B236" s="76">
        <v>62.765234999999997</v>
      </c>
      <c r="C236" s="82">
        <f t="shared" si="50"/>
        <v>48.950686243439911</v>
      </c>
      <c r="D236" s="73">
        <v>0.77990126609802246</v>
      </c>
      <c r="E236" s="73">
        <v>0.3715985119342804</v>
      </c>
      <c r="F236" s="73">
        <v>5.97185418009758E-2</v>
      </c>
      <c r="G236" s="73">
        <v>4.6056594699621201E-2</v>
      </c>
      <c r="H236" s="73">
        <v>3.5557519644498825E-2</v>
      </c>
      <c r="I236" s="82">
        <f t="shared" si="51"/>
        <v>46.717833980436964</v>
      </c>
      <c r="J236" s="83">
        <f t="shared" si="43"/>
        <v>0.95438568007200963</v>
      </c>
      <c r="K236" s="84">
        <f t="shared" ref="K236:K245" si="63">(1-1.01*F236)</f>
        <v>0.93968427278101441</v>
      </c>
      <c r="L236" s="77"/>
      <c r="M236" s="77"/>
      <c r="N236" s="77"/>
      <c r="O236" s="77"/>
      <c r="P236" s="83"/>
      <c r="Q236" s="83"/>
      <c r="R236" s="87"/>
      <c r="S236" s="80"/>
      <c r="T236" s="79"/>
      <c r="U236" s="79"/>
      <c r="V236" s="79"/>
      <c r="W236" s="79"/>
      <c r="X236" s="71"/>
      <c r="Y236" s="80"/>
      <c r="Z236" s="79"/>
      <c r="AA236" s="79"/>
      <c r="AB236" s="73"/>
      <c r="AC236" s="79"/>
      <c r="AD236" s="74"/>
      <c r="AE236" s="80"/>
      <c r="AF236" s="79"/>
      <c r="AG236" s="79"/>
      <c r="AH236" s="79"/>
      <c r="AI236" s="79"/>
      <c r="AJ236" s="71"/>
      <c r="AK236" s="72"/>
      <c r="AL236" s="73">
        <v>0.46329999999999999</v>
      </c>
      <c r="AM236" s="74"/>
      <c r="AN236" s="75">
        <v>0.5</v>
      </c>
    </row>
    <row r="237" spans="1:40" ht="15.6" x14ac:dyDescent="0.3">
      <c r="A237" s="29">
        <v>2011</v>
      </c>
      <c r="B237" s="76">
        <v>63.070343999999999</v>
      </c>
      <c r="C237" s="82">
        <f t="shared" si="50"/>
        <v>49.18472396339893</v>
      </c>
      <c r="D237" s="73">
        <v>0.7798391580581665</v>
      </c>
      <c r="E237" s="73">
        <v>0.37162169814109802</v>
      </c>
      <c r="F237" s="73">
        <v>6.0339320451021194E-2</v>
      </c>
      <c r="G237" s="73">
        <v>4.5940306037664413E-2</v>
      </c>
      <c r="H237" s="73">
        <v>3.5629849880933762E-2</v>
      </c>
      <c r="I237" s="82">
        <f t="shared" si="51"/>
        <v>46.910205410019522</v>
      </c>
      <c r="J237" s="83">
        <f t="shared" si="43"/>
        <v>0.95375558974221342</v>
      </c>
      <c r="K237" s="84">
        <f t="shared" si="63"/>
        <v>0.93905728634446861</v>
      </c>
      <c r="L237" s="77"/>
      <c r="M237" s="77"/>
      <c r="N237" s="77"/>
      <c r="O237" s="77"/>
      <c r="P237" s="83"/>
      <c r="Q237" s="83"/>
      <c r="R237" s="87"/>
      <c r="S237" s="80"/>
      <c r="T237" s="79"/>
      <c r="U237" s="79"/>
      <c r="V237" s="79"/>
      <c r="W237" s="79"/>
      <c r="X237" s="71"/>
      <c r="Y237" s="80"/>
      <c r="Z237" s="79"/>
      <c r="AA237" s="79"/>
      <c r="AB237" s="73"/>
      <c r="AC237" s="79"/>
      <c r="AD237" s="74"/>
      <c r="AE237" s="80"/>
      <c r="AF237" s="79"/>
      <c r="AG237" s="79"/>
      <c r="AH237" s="79"/>
      <c r="AI237" s="79"/>
      <c r="AJ237" s="71"/>
      <c r="AK237" s="72"/>
      <c r="AL237" s="73"/>
      <c r="AM237" s="74"/>
      <c r="AN237" s="75">
        <v>0.5</v>
      </c>
    </row>
    <row r="238" spans="1:40" ht="15.6" x14ac:dyDescent="0.3">
      <c r="A238" s="29">
        <v>2012</v>
      </c>
      <c r="B238" s="76">
        <v>63.375971</v>
      </c>
      <c r="C238" s="82">
        <f t="shared" si="50"/>
        <v>49.472908007799091</v>
      </c>
      <c r="D238" s="73">
        <v>0.78062564134597778</v>
      </c>
      <c r="E238" s="73">
        <v>0.3718426525592804</v>
      </c>
      <c r="F238" s="73">
        <v>6.0955613851547241E-2</v>
      </c>
      <c r="G238" s="73">
        <v>4.5858658850193024E-2</v>
      </c>
      <c r="H238" s="73">
        <v>3.5654205828905106E-2</v>
      </c>
      <c r="I238" s="82">
        <f t="shared" si="51"/>
        <v>47.154115379129998</v>
      </c>
      <c r="J238" s="83">
        <f t="shared" si="43"/>
        <v>0.95313005194067935</v>
      </c>
      <c r="K238" s="84">
        <f t="shared" si="63"/>
        <v>0.93843483000993733</v>
      </c>
      <c r="L238" s="82">
        <v>43.289825</v>
      </c>
      <c r="M238" s="82">
        <v>25.428550999999999</v>
      </c>
      <c r="N238" s="82">
        <v>25.045736000000002</v>
      </c>
      <c r="O238" s="73">
        <f t="shared" ref="O238" si="64">L238/I238</f>
        <v>0.9180497747002524</v>
      </c>
      <c r="P238" s="83">
        <f>M238/L238</f>
        <v>0.58740249007705614</v>
      </c>
      <c r="Q238" s="83">
        <f t="shared" ref="Q238" si="65">P238*O238</f>
        <v>0.53926472367360867</v>
      </c>
      <c r="R238" s="83">
        <f>(M238-N238)/M238</f>
        <v>1.505453456628328E-2</v>
      </c>
      <c r="S238" s="76">
        <v>43.262591999999998</v>
      </c>
      <c r="T238" s="82">
        <v>35.203975999999997</v>
      </c>
      <c r="U238" s="82">
        <v>34.554856999999998</v>
      </c>
      <c r="V238" s="73">
        <f>T238/S238</f>
        <v>0.81372785061052277</v>
      </c>
      <c r="W238" s="83">
        <f>V238*$O238</f>
        <v>0.7470426699203111</v>
      </c>
      <c r="X238" s="74">
        <f>(T238-U238)/T238</f>
        <v>1.8438797935778586E-2</v>
      </c>
      <c r="Y238" s="80"/>
      <c r="Z238" s="79"/>
      <c r="AA238" s="79"/>
      <c r="AB238" s="73"/>
      <c r="AC238" s="79"/>
      <c r="AD238" s="74"/>
      <c r="AE238" s="80"/>
      <c r="AF238" s="79"/>
      <c r="AG238" s="79"/>
      <c r="AH238" s="79"/>
      <c r="AI238" s="79"/>
      <c r="AJ238" s="71"/>
      <c r="AK238" s="72"/>
      <c r="AL238" s="73"/>
      <c r="AM238" s="74"/>
      <c r="AN238" s="75">
        <v>0.5</v>
      </c>
    </row>
    <row r="239" spans="1:40" ht="15.6" x14ac:dyDescent="0.3">
      <c r="A239" s="29">
        <v>2013</v>
      </c>
      <c r="B239" s="76">
        <v>63.697865</v>
      </c>
      <c r="C239" s="82">
        <f t="shared" si="50"/>
        <v>49.754203338194785</v>
      </c>
      <c r="D239" s="73">
        <v>0.78109687566757202</v>
      </c>
      <c r="E239" s="73">
        <v>0.37209087610244751</v>
      </c>
      <c r="F239" s="73">
        <v>6.3040547072887421E-2</v>
      </c>
      <c r="G239" s="73">
        <v>4.5763794332742691E-2</v>
      </c>
      <c r="H239" s="73">
        <v>3.570234403014183E-2</v>
      </c>
      <c r="I239" s="82">
        <f t="shared" si="51"/>
        <v>47.316936207687988</v>
      </c>
      <c r="J239" s="83">
        <f t="shared" si="43"/>
        <v>0.95101384472101913</v>
      </c>
      <c r="K239" s="84">
        <f t="shared" si="63"/>
        <v>0.93632904745638368</v>
      </c>
      <c r="L239" s="77"/>
      <c r="M239" s="77"/>
      <c r="N239" s="77"/>
      <c r="O239" s="77"/>
      <c r="P239" s="83"/>
      <c r="Q239" s="83"/>
      <c r="R239" s="87"/>
      <c r="S239" s="80"/>
      <c r="T239" s="79"/>
      <c r="U239" s="79"/>
      <c r="V239" s="79"/>
      <c r="W239" s="79"/>
      <c r="X239" s="71"/>
      <c r="Y239" s="80"/>
      <c r="Z239" s="79"/>
      <c r="AA239" s="79"/>
      <c r="AB239" s="73"/>
      <c r="AC239" s="79"/>
      <c r="AD239" s="74"/>
      <c r="AE239" s="80"/>
      <c r="AF239" s="79"/>
      <c r="AG239" s="79"/>
      <c r="AH239" s="79"/>
      <c r="AI239" s="79"/>
      <c r="AJ239" s="71"/>
      <c r="AK239" s="72"/>
      <c r="AL239" s="73"/>
      <c r="AM239" s="74"/>
      <c r="AN239" s="75">
        <v>0.5</v>
      </c>
    </row>
    <row r="240" spans="1:40" ht="15.6" x14ac:dyDescent="0.3">
      <c r="A240" s="29">
        <v>2014</v>
      </c>
      <c r="B240" s="76">
        <v>64.027957999999998</v>
      </c>
      <c r="C240" s="82">
        <f t="shared" si="50"/>
        <v>50.041679645972486</v>
      </c>
      <c r="D240" s="73">
        <v>0.78155982494354248</v>
      </c>
      <c r="E240" s="73">
        <v>0.3723333477973938</v>
      </c>
      <c r="F240" s="73">
        <v>6.4523704349994659E-2</v>
      </c>
      <c r="G240" s="73">
        <v>4.5575451105833054E-2</v>
      </c>
      <c r="H240" s="73">
        <v>3.5818148404359818E-2</v>
      </c>
      <c r="I240" s="82">
        <f t="shared" si="51"/>
        <v>47.514997179868388</v>
      </c>
      <c r="J240" s="83">
        <f t="shared" si="43"/>
        <v>0.94950844008475532</v>
      </c>
      <c r="K240" s="84">
        <f t="shared" si="63"/>
        <v>0.93483105860650539</v>
      </c>
      <c r="L240" s="77"/>
      <c r="M240" s="77"/>
      <c r="N240" s="77"/>
      <c r="O240" s="77"/>
      <c r="P240" s="83"/>
      <c r="Q240" s="83"/>
      <c r="R240" s="87"/>
      <c r="S240" s="80"/>
      <c r="T240" s="79"/>
      <c r="U240" s="79"/>
      <c r="V240" s="79"/>
      <c r="W240" s="79"/>
      <c r="X240" s="71"/>
      <c r="Y240" s="80"/>
      <c r="Z240" s="79"/>
      <c r="AA240" s="79"/>
      <c r="AB240" s="73"/>
      <c r="AC240" s="79"/>
      <c r="AD240" s="71"/>
      <c r="AE240" s="76">
        <v>45.657356</v>
      </c>
      <c r="AF240" s="82">
        <v>20.271684</v>
      </c>
      <c r="AG240" s="82">
        <v>19.482992999815941</v>
      </c>
      <c r="AH240" s="83">
        <f>AF240/AE240</f>
        <v>0.44399601238407238</v>
      </c>
      <c r="AI240" s="83"/>
      <c r="AJ240" s="74">
        <f>(AF240-AG240)/AF240</f>
        <v>3.8906042546048909E-2</v>
      </c>
      <c r="AK240" s="72">
        <v>0.63549999999999995</v>
      </c>
      <c r="AL240" s="73"/>
      <c r="AM240" s="74">
        <f>AH240</f>
        <v>0.44399601238407238</v>
      </c>
      <c r="AN240" s="75">
        <v>0.5</v>
      </c>
    </row>
    <row r="241" spans="1:40" ht="15.6" x14ac:dyDescent="0.3">
      <c r="A241" s="29">
        <v>2015</v>
      </c>
      <c r="B241" s="76">
        <v>64.300820999999999</v>
      </c>
      <c r="C241" s="82">
        <f t="shared" si="50"/>
        <v>50.284545452653347</v>
      </c>
      <c r="D241" s="73">
        <v>0.78202027082443237</v>
      </c>
      <c r="E241" s="73">
        <v>0.37257769703865051</v>
      </c>
      <c r="F241" s="73">
        <v>6.5983913838863373E-2</v>
      </c>
      <c r="G241" s="73">
        <v>4.5469887554645538E-2</v>
      </c>
      <c r="H241" s="73">
        <v>3.5840630531311035E-2</v>
      </c>
      <c r="I241" s="82">
        <f t="shared" si="51"/>
        <v>47.671072953150237</v>
      </c>
      <c r="J241" s="83">
        <f t="shared" si="43"/>
        <v>0.94802632745355353</v>
      </c>
      <c r="K241" s="84">
        <f t="shared" si="63"/>
        <v>0.933356247022748</v>
      </c>
      <c r="L241" s="77"/>
      <c r="M241" s="77"/>
      <c r="N241" s="77"/>
      <c r="O241" s="77"/>
      <c r="P241" s="83"/>
      <c r="Q241" s="83"/>
      <c r="R241" s="87"/>
      <c r="S241" s="80"/>
      <c r="T241" s="79"/>
      <c r="U241" s="79"/>
      <c r="V241" s="79"/>
      <c r="W241" s="79"/>
      <c r="X241" s="71"/>
      <c r="Y241" s="80"/>
      <c r="Z241" s="79"/>
      <c r="AA241" s="79"/>
      <c r="AB241" s="73"/>
      <c r="AC241" s="79"/>
      <c r="AD241" s="71"/>
      <c r="AE241" s="80"/>
      <c r="AF241" s="79"/>
      <c r="AG241" s="79"/>
      <c r="AH241" s="79"/>
      <c r="AI241" s="79"/>
      <c r="AJ241" s="71"/>
      <c r="AK241" s="72"/>
      <c r="AL241" s="73">
        <v>0.49909999999999999</v>
      </c>
      <c r="AM241" s="74"/>
      <c r="AN241" s="75">
        <v>0.5</v>
      </c>
    </row>
    <row r="242" spans="1:40" ht="15.6" x14ac:dyDescent="0.3">
      <c r="A242" s="29">
        <v>2016</v>
      </c>
      <c r="B242" s="76">
        <v>64.468791999999993</v>
      </c>
      <c r="C242" s="82">
        <f t="shared" si="50"/>
        <v>50.445844026129244</v>
      </c>
      <c r="D242" s="73">
        <v>0.78248471021652222</v>
      </c>
      <c r="E242" s="73">
        <v>0.37281772494316101</v>
      </c>
      <c r="F242" s="73">
        <v>6.7425951361656189E-2</v>
      </c>
      <c r="G242" s="73">
        <v>4.543936625123024E-2</v>
      </c>
      <c r="H242" s="73">
        <v>3.5905759781599045E-2</v>
      </c>
      <c r="I242" s="82">
        <f t="shared" si="51"/>
        <v>47.750152275432136</v>
      </c>
      <c r="J242" s="83">
        <f t="shared" si="43"/>
        <v>0.94656265936791872</v>
      </c>
      <c r="K242" s="84">
        <f t="shared" si="63"/>
        <v>0.93189978912472726</v>
      </c>
      <c r="L242" s="77"/>
      <c r="M242" s="77"/>
      <c r="N242" s="77"/>
      <c r="O242" s="77"/>
      <c r="P242" s="83"/>
      <c r="Q242" s="83"/>
      <c r="R242" s="87"/>
      <c r="S242" s="80"/>
      <c r="T242" s="79"/>
      <c r="U242" s="79"/>
      <c r="V242" s="79"/>
      <c r="W242" s="79"/>
      <c r="X242" s="71"/>
      <c r="Y242" s="80"/>
      <c r="Z242" s="79"/>
      <c r="AA242" s="79"/>
      <c r="AB242" s="73"/>
      <c r="AC242" s="79"/>
      <c r="AD242" s="71"/>
      <c r="AE242" s="80"/>
      <c r="AF242" s="79"/>
      <c r="AG242" s="79"/>
      <c r="AH242" s="79"/>
      <c r="AI242" s="79"/>
      <c r="AJ242" s="71"/>
      <c r="AK242" s="72"/>
      <c r="AL242" s="73"/>
      <c r="AM242" s="74"/>
      <c r="AN242" s="75">
        <v>0.5</v>
      </c>
    </row>
    <row r="243" spans="1:40" ht="15.6" x14ac:dyDescent="0.3">
      <c r="A243" s="29">
        <v>2017</v>
      </c>
      <c r="B243" s="76">
        <v>64.639133000000001</v>
      </c>
      <c r="C243" s="82">
        <f t="shared" si="50"/>
        <v>50.604577096225441</v>
      </c>
      <c r="D243" s="73">
        <v>0.7828783392906189</v>
      </c>
      <c r="E243" s="73">
        <v>0.37303274869918823</v>
      </c>
      <c r="F243" s="73">
        <v>6.8847380578517914E-2</v>
      </c>
      <c r="G243" s="73">
        <v>4.537670686841011E-2</v>
      </c>
      <c r="H243" s="73">
        <v>3.5920098423957825E-2</v>
      </c>
      <c r="I243" s="82">
        <f t="shared" si="51"/>
        <v>47.827393285634656</v>
      </c>
      <c r="J243" s="83">
        <f t="shared" si="43"/>
        <v>0.94511990871280427</v>
      </c>
      <c r="K243" s="84">
        <f t="shared" si="63"/>
        <v>0.9304641456156969</v>
      </c>
      <c r="L243" s="82">
        <v>44.430700999999999</v>
      </c>
      <c r="M243" s="82">
        <f>L243*P243</f>
        <v>22.312433999999996</v>
      </c>
      <c r="N243" s="82">
        <v>21.840950999999997</v>
      </c>
      <c r="O243" s="83">
        <f t="shared" ref="O243" si="66">L243/I243</f>
        <v>0.92898019205544113</v>
      </c>
      <c r="P243" s="83">
        <v>0.50218505442891836</v>
      </c>
      <c r="Q243" s="83">
        <f>P243*$O243</f>
        <v>0.46651996831074877</v>
      </c>
      <c r="R243" s="83">
        <v>2.1130953261307095E-2</v>
      </c>
      <c r="S243" s="76">
        <v>44.443165</v>
      </c>
      <c r="T243" s="82">
        <v>35.562773999999997</v>
      </c>
      <c r="U243" s="82">
        <v>34.692369999999997</v>
      </c>
      <c r="V243" s="73">
        <f>T243/S243</f>
        <v>0.80018545033865152</v>
      </c>
      <c r="W243" s="83">
        <f>V243*$O243</f>
        <v>0.74335643333557011</v>
      </c>
      <c r="X243" s="74">
        <f>(T243-U243)/T243</f>
        <v>2.4475143586942926E-2</v>
      </c>
      <c r="Y243" s="80"/>
      <c r="Z243" s="79"/>
      <c r="AA243" s="79"/>
      <c r="AB243" s="73"/>
      <c r="AC243" s="79"/>
      <c r="AD243" s="71"/>
      <c r="AE243" s="80"/>
      <c r="AF243" s="79"/>
      <c r="AG243" s="79"/>
      <c r="AH243" s="79"/>
      <c r="AI243" s="79"/>
      <c r="AJ243" s="71"/>
      <c r="AK243" s="72"/>
      <c r="AL243" s="73"/>
      <c r="AM243" s="74"/>
      <c r="AN243" s="75">
        <v>0.5</v>
      </c>
    </row>
    <row r="244" spans="1:40" ht="15.6" x14ac:dyDescent="0.3">
      <c r="A244" s="29">
        <v>2018</v>
      </c>
      <c r="B244" s="76">
        <v>64.844037</v>
      </c>
      <c r="C244" s="82">
        <f t="shared" si="50"/>
        <v>50.788093139073375</v>
      </c>
      <c r="D244" s="73">
        <v>0.78323459625244141</v>
      </c>
      <c r="E244" s="73">
        <v>0.3732275664806366</v>
      </c>
      <c r="F244" s="73">
        <v>6.9854438304901123E-2</v>
      </c>
      <c r="G244" s="73">
        <v>4.5371279120445251E-2</v>
      </c>
      <c r="H244" s="73">
        <v>3.6034800112247467E-2</v>
      </c>
      <c r="I244" s="82">
        <f t="shared" si="51"/>
        <v>47.948924211570386</v>
      </c>
      <c r="J244" s="83">
        <f t="shared" si="43"/>
        <v>0.94409774512052513</v>
      </c>
      <c r="K244" s="84">
        <f t="shared" si="63"/>
        <v>0.92944701731204982</v>
      </c>
      <c r="L244" s="77"/>
      <c r="M244" s="77"/>
      <c r="N244" s="77"/>
      <c r="O244" s="85"/>
      <c r="P244" s="83"/>
      <c r="Q244" s="83"/>
      <c r="R244" s="87"/>
      <c r="S244" s="80"/>
      <c r="T244" s="79"/>
      <c r="U244" s="79"/>
      <c r="V244" s="79"/>
      <c r="W244" s="79"/>
      <c r="X244" s="71"/>
      <c r="Y244" s="80"/>
      <c r="Z244" s="79"/>
      <c r="AA244" s="79"/>
      <c r="AB244" s="73"/>
      <c r="AC244" s="79"/>
      <c r="AD244" s="71"/>
      <c r="AE244" s="80"/>
      <c r="AF244" s="79"/>
      <c r="AG244" s="79"/>
      <c r="AH244" s="79"/>
      <c r="AI244" s="79"/>
      <c r="AJ244" s="71"/>
      <c r="AK244" s="72"/>
      <c r="AL244" s="73"/>
      <c r="AM244" s="74"/>
      <c r="AN244" s="75">
        <v>0.5</v>
      </c>
    </row>
    <row r="245" spans="1:40" ht="15.6" x14ac:dyDescent="0.3">
      <c r="A245" s="29">
        <v>2019</v>
      </c>
      <c r="B245" s="76">
        <v>65.096767999999997</v>
      </c>
      <c r="C245" s="82">
        <f t="shared" si="50"/>
        <v>51.005518751876828</v>
      </c>
      <c r="D245" s="73">
        <v>0.78353381156921387</v>
      </c>
      <c r="E245" s="73">
        <v>0.37340119481086731</v>
      </c>
      <c r="F245" s="73">
        <v>7.0852525532245636E-2</v>
      </c>
      <c r="G245" s="73">
        <v>4.5373775064945221E-2</v>
      </c>
      <c r="H245" s="73">
        <v>3.6204732954502106E-2</v>
      </c>
      <c r="I245" s="82">
        <f t="shared" si="51"/>
        <v>48.102523666207397</v>
      </c>
      <c r="J245" s="83">
        <f t="shared" si="43"/>
        <v>0.94308468658477063</v>
      </c>
      <c r="K245" s="84">
        <f t="shared" si="63"/>
        <v>0.92843894921243186</v>
      </c>
      <c r="L245" s="77"/>
      <c r="M245" s="77"/>
      <c r="N245" s="77"/>
      <c r="O245" s="85"/>
      <c r="P245" s="83"/>
      <c r="Q245" s="83"/>
      <c r="R245" s="87"/>
      <c r="S245" s="80"/>
      <c r="T245" s="79"/>
      <c r="U245" s="79"/>
      <c r="V245" s="79"/>
      <c r="W245" s="79"/>
      <c r="X245" s="71"/>
      <c r="Y245" s="80"/>
      <c r="Z245" s="79"/>
      <c r="AA245" s="79"/>
      <c r="AB245" s="73"/>
      <c r="AC245" s="79"/>
      <c r="AD245" s="71"/>
      <c r="AE245" s="76">
        <v>46.300007999999998</v>
      </c>
      <c r="AF245" s="82">
        <v>24.212257999999999</v>
      </c>
      <c r="AG245" s="82">
        <v>23.162863000086308</v>
      </c>
      <c r="AH245" s="83">
        <f>AF245/AE245</f>
        <v>0.52294284700771543</v>
      </c>
      <c r="AI245" s="83"/>
      <c r="AJ245" s="74">
        <f>(AF245-AG245)/AF245</f>
        <v>4.334147603720772E-2</v>
      </c>
      <c r="AK245" s="72"/>
      <c r="AL245" s="73"/>
      <c r="AM245" s="74">
        <f>AH245</f>
        <v>0.52294284700771543</v>
      </c>
      <c r="AN245" s="75">
        <v>0.5</v>
      </c>
    </row>
    <row r="246" spans="1:40" ht="15.6" x14ac:dyDescent="0.3">
      <c r="A246" s="29">
        <v>2020</v>
      </c>
      <c r="B246" s="76">
        <v>65.738052999999994</v>
      </c>
      <c r="C246" s="82">
        <f t="shared" si="50"/>
        <v>51.524267740879232</v>
      </c>
      <c r="D246" s="73">
        <v>0.78378146886825562</v>
      </c>
      <c r="E246" s="73">
        <v>0.37355607748031616</v>
      </c>
      <c r="F246" s="73">
        <v>7.184012234210968E-2</v>
      </c>
      <c r="G246" s="73">
        <v>4.5255903154611588E-2</v>
      </c>
      <c r="H246" s="73">
        <v>3.643064945936203E-2</v>
      </c>
      <c r="I246" s="82">
        <f t="shared" si="51"/>
        <v>48.540099413428649</v>
      </c>
      <c r="J246" s="83">
        <f>I246/(D246*B246)</f>
        <v>0.94208227582275861</v>
      </c>
      <c r="K246" s="84">
        <f>(1-1.01*F246)</f>
        <v>0.92744147643446917</v>
      </c>
      <c r="L246" s="77"/>
      <c r="M246" s="77"/>
      <c r="N246" s="77"/>
      <c r="O246" s="85"/>
      <c r="P246" s="83"/>
      <c r="Q246" s="83"/>
      <c r="R246" s="87"/>
      <c r="S246" s="80"/>
      <c r="T246" s="79"/>
      <c r="U246" s="79"/>
      <c r="V246" s="79"/>
      <c r="W246" s="79"/>
      <c r="X246" s="71"/>
      <c r="Y246" s="80"/>
      <c r="Z246" s="79"/>
      <c r="AA246" s="79"/>
      <c r="AB246" s="73"/>
      <c r="AC246" s="79"/>
      <c r="AD246" s="71"/>
      <c r="AE246" s="80"/>
      <c r="AF246" s="79"/>
      <c r="AG246" s="79"/>
      <c r="AH246" s="79"/>
      <c r="AI246" s="79"/>
      <c r="AJ246" s="71"/>
      <c r="AK246" s="72">
        <v>0.4466</v>
      </c>
      <c r="AL246" s="73"/>
      <c r="AM246" s="74"/>
      <c r="AN246" s="75">
        <v>0.5</v>
      </c>
    </row>
    <row r="247" spans="1:40" ht="15.6" x14ac:dyDescent="0.3">
      <c r="A247" s="29">
        <v>2021</v>
      </c>
      <c r="B247" s="76">
        <v>65.951815999999994</v>
      </c>
      <c r="C247" s="82">
        <f t="shared" si="50"/>
        <v>51.704646046863552</v>
      </c>
      <c r="D247" s="73">
        <v>0.78397607803344727</v>
      </c>
      <c r="E247" s="73">
        <v>0.37369298934936523</v>
      </c>
      <c r="F247" s="73">
        <v>7.2827801108360291E-2</v>
      </c>
      <c r="G247" s="73">
        <v>4.5217148959636688E-2</v>
      </c>
      <c r="H247" s="73">
        <v>3.6504983901977539E-2</v>
      </c>
      <c r="I247" s="82">
        <f t="shared" si="51"/>
        <v>48.65819702370716</v>
      </c>
      <c r="J247" s="83">
        <f>I247/(D247*B247)</f>
        <v>0.94107978187501407</v>
      </c>
      <c r="K247" s="84">
        <f>(1-1.01*F247)</f>
        <v>0.92644392088055616</v>
      </c>
      <c r="L247" s="79"/>
      <c r="M247" s="79"/>
      <c r="N247" s="79"/>
      <c r="O247" s="85"/>
      <c r="P247" s="83"/>
      <c r="Q247" s="83"/>
      <c r="R247" s="87"/>
      <c r="S247" s="80"/>
      <c r="T247" s="79"/>
      <c r="U247" s="79"/>
      <c r="V247" s="79"/>
      <c r="W247" s="79"/>
      <c r="X247" s="71"/>
      <c r="Y247" s="80"/>
      <c r="Z247" s="79"/>
      <c r="AA247" s="79"/>
      <c r="AB247" s="73"/>
      <c r="AC247" s="79"/>
      <c r="AD247" s="71"/>
      <c r="AE247" s="80"/>
      <c r="AF247" s="79"/>
      <c r="AG247" s="79"/>
      <c r="AH247" s="79"/>
      <c r="AI247" s="79"/>
      <c r="AJ247" s="71"/>
      <c r="AK247" s="72"/>
      <c r="AL247" s="73">
        <v>0.33279999999999998</v>
      </c>
      <c r="AM247" s="74"/>
      <c r="AN247" s="75">
        <v>0.5</v>
      </c>
    </row>
    <row r="248" spans="1:40" ht="15.6" x14ac:dyDescent="0.3">
      <c r="A248" s="29">
        <v>2022</v>
      </c>
      <c r="B248" s="76">
        <v>66.165577999999996</v>
      </c>
      <c r="C248" s="82">
        <f t="shared" ref="C248" si="67">D248*B248</f>
        <v>51.881963579864021</v>
      </c>
      <c r="D248" s="73">
        <v>0.78412318229675293</v>
      </c>
      <c r="E248" s="73">
        <v>0.37380892038345337</v>
      </c>
      <c r="F248" s="73">
        <v>7.3797203600406647E-2</v>
      </c>
      <c r="G248" s="73">
        <v>4.51786108314991E-2</v>
      </c>
      <c r="H248" s="73">
        <v>3.6578822880983353E-2</v>
      </c>
      <c r="I248" s="82">
        <f t="shared" ref="I248" si="68">1.015*(1-F248)*D248*B248</f>
        <v>48.774018046627489</v>
      </c>
      <c r="J248" s="83">
        <f>I248/(D248*B248)</f>
        <v>0.94009583834558719</v>
      </c>
      <c r="K248" s="84">
        <f>(1-1.01*F248)</f>
        <v>0.92546482436358923</v>
      </c>
      <c r="L248" s="82">
        <v>45.547485000000002</v>
      </c>
      <c r="M248" s="82">
        <f>L248*P248</f>
        <v>22.334890000000001</v>
      </c>
      <c r="N248" s="82">
        <v>21.857481001953126</v>
      </c>
      <c r="O248" s="83">
        <f t="shared" ref="O248" si="69">L248/I248</f>
        <v>0.93384729870844441</v>
      </c>
      <c r="P248" s="83">
        <v>0.49036494550687049</v>
      </c>
      <c r="Q248" s="83">
        <f t="shared" ref="Q248" si="70">P248*O248</f>
        <v>0.45792597974290455</v>
      </c>
      <c r="R248" s="85">
        <v>2.1375032428943008E-2</v>
      </c>
      <c r="S248" s="76">
        <v>45.371184999999997</v>
      </c>
      <c r="T248" s="79"/>
      <c r="U248" s="79"/>
      <c r="V248" s="83">
        <v>0.76190959085595844</v>
      </c>
      <c r="W248" s="83">
        <f>V248*$O248</f>
        <v>0.71150721328089284</v>
      </c>
      <c r="X248" s="71"/>
      <c r="Y248" s="76"/>
      <c r="Z248" s="79"/>
      <c r="AA248" s="79"/>
      <c r="AB248" s="73"/>
      <c r="AC248" s="79"/>
      <c r="AD248" s="71"/>
      <c r="AE248" s="80"/>
      <c r="AF248" s="79"/>
      <c r="AG248" s="79"/>
      <c r="AH248" s="79"/>
      <c r="AI248" s="79"/>
      <c r="AJ248" s="71"/>
      <c r="AK248" s="72"/>
      <c r="AL248" s="73"/>
      <c r="AM248" s="74"/>
      <c r="AN248" s="75">
        <v>0.5</v>
      </c>
    </row>
    <row r="249" spans="1:40" ht="15.6" x14ac:dyDescent="0.3">
      <c r="A249" s="29">
        <v>2023</v>
      </c>
      <c r="B249" s="76"/>
      <c r="C249" s="82"/>
      <c r="D249" s="73"/>
      <c r="E249" s="73"/>
      <c r="F249" s="73"/>
      <c r="G249" s="73"/>
      <c r="H249" s="73"/>
      <c r="I249" s="82"/>
      <c r="J249" s="83"/>
      <c r="K249" s="84"/>
      <c r="L249" s="79"/>
      <c r="M249" s="79"/>
      <c r="N249" s="79"/>
      <c r="O249" s="85"/>
      <c r="P249" s="83"/>
      <c r="Q249" s="83"/>
      <c r="R249" s="87"/>
      <c r="S249" s="80"/>
      <c r="T249" s="79"/>
      <c r="U249" s="79"/>
      <c r="V249" s="79"/>
      <c r="W249" s="79"/>
      <c r="X249" s="71"/>
      <c r="Y249" s="80"/>
      <c r="Z249" s="79"/>
      <c r="AA249" s="79"/>
      <c r="AB249" s="73"/>
      <c r="AC249" s="79"/>
      <c r="AD249" s="71"/>
      <c r="AE249" s="80"/>
      <c r="AF249" s="79"/>
      <c r="AG249" s="79"/>
      <c r="AH249" s="79"/>
      <c r="AI249" s="79"/>
      <c r="AJ249" s="71"/>
      <c r="AK249" s="72"/>
      <c r="AL249" s="73"/>
      <c r="AM249" s="74"/>
      <c r="AN249" s="73">
        <v>0.5</v>
      </c>
    </row>
    <row r="250" spans="1:40" ht="16.2" thickBot="1" x14ac:dyDescent="0.35">
      <c r="A250" s="29">
        <v>2024</v>
      </c>
      <c r="B250" s="89"/>
      <c r="C250" s="90"/>
      <c r="D250" s="91"/>
      <c r="E250" s="91"/>
      <c r="F250" s="91"/>
      <c r="G250" s="91"/>
      <c r="H250" s="91"/>
      <c r="I250" s="90"/>
      <c r="J250" s="92"/>
      <c r="K250" s="93"/>
      <c r="L250" s="95"/>
      <c r="M250" s="95"/>
      <c r="N250" s="95"/>
      <c r="O250" s="94"/>
      <c r="P250" s="92"/>
      <c r="Q250" s="92"/>
      <c r="R250" s="107"/>
      <c r="S250" s="108"/>
      <c r="T250" s="95"/>
      <c r="U250" s="95"/>
      <c r="V250" s="95"/>
      <c r="W250" s="95"/>
      <c r="X250" s="96"/>
      <c r="Y250" s="108"/>
      <c r="Z250" s="95"/>
      <c r="AA250" s="95"/>
      <c r="AB250" s="91"/>
      <c r="AC250" s="95"/>
      <c r="AD250" s="96"/>
      <c r="AE250" s="89">
        <v>48.163871</v>
      </c>
      <c r="AF250" s="90">
        <v>26.122955999999999</v>
      </c>
      <c r="AG250" s="90">
        <v>25.419104999999998</v>
      </c>
      <c r="AH250" s="92">
        <f>AF250/AE250</f>
        <v>0.5423765876293456</v>
      </c>
      <c r="AI250" s="92"/>
      <c r="AJ250" s="98">
        <f>(AF250-AG250)/AF250</f>
        <v>2.6943773131953376E-2</v>
      </c>
      <c r="AK250" s="97"/>
      <c r="AL250" s="91"/>
      <c r="AM250" s="98">
        <f>AH250</f>
        <v>0.5423765876293456</v>
      </c>
      <c r="AN250" s="91">
        <v>0.5</v>
      </c>
    </row>
    <row r="251" spans="1:40" ht="16.2" thickTop="1" x14ac:dyDescent="0.3">
      <c r="A251" s="29"/>
      <c r="B251" s="99"/>
      <c r="C251" s="100"/>
      <c r="D251" s="100"/>
      <c r="E251" s="100"/>
      <c r="F251" s="100"/>
      <c r="G251" s="100"/>
      <c r="H251" s="100"/>
      <c r="I251" s="100"/>
      <c r="J251" s="100"/>
      <c r="K251" s="100"/>
      <c r="O251" s="100"/>
      <c r="P251" s="101"/>
      <c r="Q251" s="101"/>
      <c r="R251" s="102"/>
      <c r="V251" s="101"/>
      <c r="W251" s="101"/>
    </row>
    <row r="252" spans="1:40" ht="16.2" thickBot="1" x14ac:dyDescent="0.35">
      <c r="A252" s="27" t="s">
        <v>80</v>
      </c>
      <c r="B252" s="100"/>
      <c r="C252" s="100"/>
      <c r="D252" s="100"/>
      <c r="E252" s="100"/>
      <c r="F252" s="100"/>
      <c r="G252" s="100"/>
      <c r="H252" s="100"/>
      <c r="I252" s="100"/>
      <c r="J252" s="100"/>
      <c r="K252" s="100"/>
      <c r="O252" s="100"/>
      <c r="P252" s="101"/>
      <c r="Q252" s="101"/>
      <c r="R252" s="102"/>
      <c r="V252" s="101"/>
      <c r="W252" s="101"/>
    </row>
    <row r="253" spans="1:40" ht="93.6" customHeight="1" thickTop="1" thickBot="1" x14ac:dyDescent="0.35">
      <c r="A253" s="132" t="s">
        <v>81</v>
      </c>
      <c r="B253" s="133"/>
      <c r="C253" s="133"/>
      <c r="D253" s="133"/>
      <c r="E253" s="133"/>
      <c r="F253" s="133"/>
      <c r="G253" s="133"/>
      <c r="H253" s="133"/>
      <c r="I253" s="133"/>
      <c r="J253" s="133"/>
      <c r="K253" s="133"/>
      <c r="L253" s="133"/>
      <c r="M253" s="133"/>
      <c r="N253" s="133"/>
      <c r="O253" s="134"/>
      <c r="V253" s="101"/>
      <c r="W253" s="101"/>
    </row>
    <row r="254" spans="1:40" ht="73.2" customHeight="1" thickTop="1" thickBot="1" x14ac:dyDescent="0.35">
      <c r="A254" s="132" t="s">
        <v>82</v>
      </c>
      <c r="B254" s="133"/>
      <c r="C254" s="133"/>
      <c r="D254" s="133"/>
      <c r="E254" s="133"/>
      <c r="F254" s="133"/>
      <c r="G254" s="133"/>
      <c r="H254" s="133"/>
      <c r="I254" s="133"/>
      <c r="J254" s="133"/>
      <c r="K254" s="133"/>
      <c r="L254" s="133"/>
      <c r="M254" s="133"/>
      <c r="N254" s="133"/>
      <c r="O254" s="134"/>
      <c r="V254" s="101"/>
      <c r="W254" s="101"/>
    </row>
    <row r="255" spans="1:40" ht="79.8" customHeight="1" thickTop="1" thickBot="1" x14ac:dyDescent="0.35">
      <c r="A255" s="132" t="s">
        <v>83</v>
      </c>
      <c r="B255" s="133"/>
      <c r="C255" s="133"/>
      <c r="D255" s="133"/>
      <c r="E255" s="133"/>
      <c r="F255" s="133"/>
      <c r="G255" s="133"/>
      <c r="H255" s="133"/>
      <c r="I255" s="133"/>
      <c r="J255" s="133"/>
      <c r="K255" s="133"/>
      <c r="L255" s="133"/>
      <c r="M255" s="133"/>
      <c r="N255" s="133"/>
      <c r="O255" s="134"/>
      <c r="V255" s="101"/>
      <c r="W255" s="101"/>
    </row>
    <row r="256" spans="1:40" ht="16.2" thickTop="1" x14ac:dyDescent="0.3">
      <c r="A256" s="103"/>
      <c r="V256" s="101"/>
      <c r="W256" s="101"/>
    </row>
    <row r="257" spans="1:15" ht="15.6" x14ac:dyDescent="0.3">
      <c r="A257" s="28"/>
    </row>
    <row r="258" spans="1:15" ht="16.2" thickBot="1" x14ac:dyDescent="0.35">
      <c r="A258" s="104" t="s">
        <v>84</v>
      </c>
    </row>
    <row r="259" spans="1:15" ht="34.799999999999997" customHeight="1" thickTop="1" thickBot="1" x14ac:dyDescent="0.35">
      <c r="A259" s="132" t="s">
        <v>85</v>
      </c>
      <c r="B259" s="133"/>
      <c r="C259" s="133"/>
      <c r="D259" s="133"/>
      <c r="E259" s="133"/>
      <c r="F259" s="133"/>
      <c r="G259" s="133"/>
      <c r="H259" s="133"/>
      <c r="I259" s="133"/>
      <c r="J259" s="133"/>
      <c r="K259" s="133"/>
      <c r="L259" s="133"/>
      <c r="M259" s="133"/>
      <c r="N259" s="133"/>
      <c r="O259" s="134"/>
    </row>
    <row r="260" spans="1:15" ht="16.2" thickTop="1" x14ac:dyDescent="0.3">
      <c r="A260" s="103" t="s">
        <v>86</v>
      </c>
    </row>
    <row r="261" spans="1:15" ht="15.6" x14ac:dyDescent="0.3">
      <c r="A261" s="103" t="s">
        <v>87</v>
      </c>
    </row>
    <row r="262" spans="1:15" ht="15.6" x14ac:dyDescent="0.3">
      <c r="A262" s="103" t="s">
        <v>88</v>
      </c>
    </row>
    <row r="263" spans="1:15" ht="15.6" x14ac:dyDescent="0.3">
      <c r="A263" s="103" t="s">
        <v>89</v>
      </c>
    </row>
    <row r="264" spans="1:15" ht="15.6" x14ac:dyDescent="0.3">
      <c r="A264" s="103" t="s">
        <v>90</v>
      </c>
    </row>
    <row r="265" spans="1:15" ht="15.6" x14ac:dyDescent="0.3">
      <c r="A265" s="103" t="s">
        <v>91</v>
      </c>
    </row>
    <row r="266" spans="1:15" ht="15.6" x14ac:dyDescent="0.3">
      <c r="A266" s="103" t="s">
        <v>92</v>
      </c>
    </row>
    <row r="267" spans="1:15" ht="15.6" x14ac:dyDescent="0.3">
      <c r="A267" s="103" t="s">
        <v>93</v>
      </c>
    </row>
    <row r="268" spans="1:15" ht="15.6" x14ac:dyDescent="0.3">
      <c r="A268" s="103" t="s">
        <v>94</v>
      </c>
    </row>
    <row r="269" spans="1:15" ht="66.599999999999994" customHeight="1" x14ac:dyDescent="0.3">
      <c r="A269" s="119" t="s">
        <v>95</v>
      </c>
      <c r="B269" s="119"/>
      <c r="C269" s="119"/>
      <c r="D269" s="119"/>
      <c r="E269" s="119"/>
      <c r="F269" s="119"/>
      <c r="G269" s="119"/>
      <c r="H269" s="119"/>
      <c r="I269" s="119"/>
      <c r="J269" s="119"/>
      <c r="K269" s="119"/>
      <c r="L269" s="119"/>
      <c r="M269" s="119"/>
      <c r="N269" s="119"/>
      <c r="O269" s="119"/>
    </row>
    <row r="270" spans="1:15" ht="15.6" x14ac:dyDescent="0.3">
      <c r="A270" s="103" t="s">
        <v>96</v>
      </c>
    </row>
    <row r="271" spans="1:15" ht="15.6" x14ac:dyDescent="0.3">
      <c r="A271" s="103"/>
    </row>
    <row r="272" spans="1:15" ht="15.6" x14ac:dyDescent="0.3">
      <c r="A272" s="103"/>
    </row>
    <row r="273" spans="1:8" ht="15.6" x14ac:dyDescent="0.3">
      <c r="B273" s="100" t="s">
        <v>97</v>
      </c>
      <c r="C273" s="100"/>
      <c r="D273" s="100" t="s">
        <v>98</v>
      </c>
      <c r="E273" s="100" t="s">
        <v>99</v>
      </c>
      <c r="F273" s="29" t="s">
        <v>100</v>
      </c>
      <c r="G273" s="29"/>
      <c r="H273" s="29"/>
    </row>
    <row r="274" spans="1:8" ht="15.6" x14ac:dyDescent="0.3">
      <c r="A274" s="103" t="s">
        <v>101</v>
      </c>
      <c r="B274" s="105">
        <v>11777632</v>
      </c>
      <c r="C274" s="105"/>
      <c r="D274" s="105">
        <v>9917170</v>
      </c>
      <c r="E274" s="105">
        <v>9670723</v>
      </c>
      <c r="F274" s="106">
        <f>D274/B274</f>
        <v>0.84203429008479802</v>
      </c>
      <c r="G274" s="106"/>
      <c r="H274" s="106"/>
    </row>
    <row r="275" spans="1:8" ht="15.6" x14ac:dyDescent="0.3">
      <c r="A275" s="28" t="s">
        <v>102</v>
      </c>
      <c r="B275" s="105">
        <v>11736899</v>
      </c>
      <c r="C275" s="105"/>
      <c r="D275" s="105">
        <v>9874161</v>
      </c>
      <c r="E275" s="105"/>
      <c r="F275" s="106">
        <f>D275/B275</f>
        <v>0.84129215050755746</v>
      </c>
      <c r="G275" s="106"/>
      <c r="H275" s="106"/>
    </row>
    <row r="276" spans="1:8" ht="15.6" x14ac:dyDescent="0.3">
      <c r="A276" s="28" t="s">
        <v>103</v>
      </c>
      <c r="B276" s="106">
        <f>B275/B274</f>
        <v>0.99654149492869193</v>
      </c>
      <c r="C276" s="106"/>
      <c r="D276" s="106">
        <f>D275/D274</f>
        <v>0.99566317810423743</v>
      </c>
      <c r="E276" s="29"/>
      <c r="F276" s="106">
        <f>F275/F274</f>
        <v>0.99911863497011999</v>
      </c>
      <c r="G276" s="106"/>
      <c r="H276" s="106"/>
    </row>
    <row r="278" spans="1:8" ht="15.6" x14ac:dyDescent="0.3">
      <c r="B278" s="28" t="s">
        <v>97</v>
      </c>
      <c r="C278" s="28"/>
      <c r="D278" s="28" t="s">
        <v>98</v>
      </c>
      <c r="E278" s="28" t="s">
        <v>99</v>
      </c>
      <c r="F278" s="29" t="s">
        <v>100</v>
      </c>
      <c r="G278" s="29"/>
      <c r="H278" s="29"/>
    </row>
    <row r="279" spans="1:8" ht="15.6" x14ac:dyDescent="0.3">
      <c r="A279" s="103" t="s">
        <v>104</v>
      </c>
      <c r="B279" s="105">
        <v>11611193</v>
      </c>
      <c r="C279" s="105"/>
      <c r="D279" s="105">
        <v>9689553</v>
      </c>
      <c r="E279" s="105">
        <v>9487603</v>
      </c>
      <c r="F279" s="106">
        <f>D279/B279</f>
        <v>0.83450107150918951</v>
      </c>
      <c r="G279" s="106"/>
      <c r="H279" s="106"/>
    </row>
    <row r="280" spans="1:8" ht="15.6" x14ac:dyDescent="0.3">
      <c r="A280" s="103" t="s">
        <v>105</v>
      </c>
      <c r="B280" s="105">
        <v>11542946</v>
      </c>
      <c r="C280" s="105"/>
      <c r="D280" s="105">
        <v>9536784</v>
      </c>
      <c r="E280" s="105"/>
      <c r="F280" s="106">
        <f>D280/B280</f>
        <v>0.8262001745481613</v>
      </c>
      <c r="G280" s="106"/>
      <c r="H280" s="106"/>
    </row>
    <row r="281" spans="1:8" ht="15.6" x14ac:dyDescent="0.3">
      <c r="A281" s="103" t="s">
        <v>106</v>
      </c>
      <c r="B281" s="106">
        <f>B280/B279</f>
        <v>0.99412230939577007</v>
      </c>
      <c r="C281" s="106"/>
      <c r="D281" s="106">
        <f>D280/D279</f>
        <v>0.98423363802231123</v>
      </c>
      <c r="E281" s="29"/>
      <c r="F281" s="106">
        <f>F280/F279</f>
        <v>0.99005286242950408</v>
      </c>
      <c r="G281" s="106"/>
      <c r="H281" s="106"/>
    </row>
    <row r="283" spans="1:8" ht="15.6" x14ac:dyDescent="0.3">
      <c r="B283" s="28" t="s">
        <v>97</v>
      </c>
      <c r="C283" s="28"/>
      <c r="D283" s="28" t="s">
        <v>98</v>
      </c>
      <c r="E283" s="28" t="s">
        <v>99</v>
      </c>
      <c r="F283" s="29" t="s">
        <v>100</v>
      </c>
      <c r="G283" s="29"/>
      <c r="H283" s="29"/>
    </row>
    <row r="284" spans="1:8" ht="15.6" x14ac:dyDescent="0.3">
      <c r="A284" s="103" t="s">
        <v>107</v>
      </c>
      <c r="B284" s="105">
        <v>11352420</v>
      </c>
      <c r="C284" s="105"/>
      <c r="D284" s="105">
        <v>9520030</v>
      </c>
      <c r="E284" s="105">
        <v>9321622</v>
      </c>
      <c r="F284" s="106">
        <f>D284/B284</f>
        <v>0.83859036223113659</v>
      </c>
      <c r="G284" s="106"/>
      <c r="H284" s="106"/>
    </row>
    <row r="285" spans="1:8" ht="15.6" x14ac:dyDescent="0.3">
      <c r="A285" s="103" t="s">
        <v>108</v>
      </c>
      <c r="B285" s="105">
        <v>11384058</v>
      </c>
      <c r="C285" s="105"/>
      <c r="D285" s="105">
        <v>9434087</v>
      </c>
      <c r="E285" s="105"/>
      <c r="F285" s="106">
        <f>D285/B285</f>
        <v>0.82871037726617347</v>
      </c>
      <c r="G285" s="106"/>
      <c r="H285" s="106"/>
    </row>
    <row r="286" spans="1:8" ht="15.6" x14ac:dyDescent="0.3">
      <c r="A286" s="103" t="s">
        <v>109</v>
      </c>
      <c r="B286" s="106">
        <f>B285/B284</f>
        <v>1.0027868947766203</v>
      </c>
      <c r="C286" s="106"/>
      <c r="D286" s="106">
        <f>D285/D284</f>
        <v>0.99097240239789164</v>
      </c>
      <c r="E286" s="29"/>
      <c r="F286" s="106">
        <f>F285/F284</f>
        <v>0.98821834186279389</v>
      </c>
      <c r="G286" s="106"/>
      <c r="H286" s="106"/>
    </row>
    <row r="288" spans="1:8" ht="15.6" x14ac:dyDescent="0.3">
      <c r="B288" s="28" t="s">
        <v>97</v>
      </c>
      <c r="C288" s="28"/>
      <c r="D288" s="28" t="s">
        <v>98</v>
      </c>
      <c r="E288" s="28" t="s">
        <v>99</v>
      </c>
      <c r="F288" s="29" t="s">
        <v>100</v>
      </c>
      <c r="G288" s="29"/>
      <c r="H288" s="29"/>
    </row>
    <row r="289" spans="1:8" ht="15.6" x14ac:dyDescent="0.3">
      <c r="A289" s="103" t="s">
        <v>110</v>
      </c>
      <c r="B289" s="105"/>
      <c r="C289" s="105"/>
      <c r="D289" s="105"/>
      <c r="E289" s="105"/>
      <c r="F289" s="106"/>
      <c r="G289" s="106"/>
      <c r="H289" s="106"/>
    </row>
    <row r="290" spans="1:8" ht="15.6" x14ac:dyDescent="0.3">
      <c r="A290" s="103" t="s">
        <v>111</v>
      </c>
      <c r="B290" s="105">
        <v>11071212</v>
      </c>
      <c r="C290" s="105"/>
      <c r="D290" s="105">
        <v>9191324</v>
      </c>
      <c r="E290" s="105"/>
      <c r="F290" s="106">
        <f>D290/B290</f>
        <v>0.83020034301574208</v>
      </c>
      <c r="G290" s="106"/>
      <c r="H290" s="106"/>
    </row>
    <row r="291" spans="1:8" ht="15.6" x14ac:dyDescent="0.3">
      <c r="A291" s="103" t="s">
        <v>112</v>
      </c>
      <c r="B291" s="106"/>
      <c r="C291" s="106"/>
      <c r="D291" s="106"/>
      <c r="E291" s="29"/>
      <c r="F291" s="106"/>
      <c r="G291" s="106"/>
      <c r="H291" s="106"/>
    </row>
    <row r="293" spans="1:8" ht="15.6" x14ac:dyDescent="0.3">
      <c r="B293" s="28" t="s">
        <v>97</v>
      </c>
      <c r="C293" s="28"/>
      <c r="D293" s="28" t="s">
        <v>98</v>
      </c>
      <c r="E293" s="28" t="s">
        <v>99</v>
      </c>
      <c r="F293" s="29" t="s">
        <v>100</v>
      </c>
      <c r="G293" s="29"/>
      <c r="H293" s="29"/>
    </row>
    <row r="294" spans="1:8" ht="15.6" x14ac:dyDescent="0.3">
      <c r="A294" s="103" t="s">
        <v>113</v>
      </c>
      <c r="B294" s="105"/>
      <c r="C294" s="105"/>
      <c r="D294" s="105"/>
      <c r="E294" s="105"/>
      <c r="F294" s="106"/>
      <c r="G294" s="106"/>
      <c r="H294" s="106"/>
    </row>
    <row r="295" spans="1:8" ht="15.6" x14ac:dyDescent="0.3">
      <c r="A295" s="103" t="s">
        <v>114</v>
      </c>
      <c r="B295" s="105">
        <v>11435719</v>
      </c>
      <c r="C295" s="105"/>
      <c r="D295" s="105">
        <v>8131063</v>
      </c>
      <c r="E295" s="105"/>
      <c r="F295" s="106">
        <f>D295/B295</f>
        <v>0.71102332962186288</v>
      </c>
      <c r="G295" s="106"/>
      <c r="H295" s="106"/>
    </row>
    <row r="296" spans="1:8" ht="15.6" x14ac:dyDescent="0.3">
      <c r="A296" s="103" t="s">
        <v>115</v>
      </c>
      <c r="B296" s="106"/>
      <c r="C296" s="106"/>
      <c r="D296" s="106"/>
      <c r="E296" s="29"/>
      <c r="F296" s="106"/>
      <c r="G296" s="106"/>
      <c r="H296" s="106"/>
    </row>
    <row r="298" spans="1:8" ht="15.6" x14ac:dyDescent="0.3">
      <c r="B298" s="28" t="s">
        <v>116</v>
      </c>
      <c r="C298" s="28"/>
      <c r="D298" s="28" t="s">
        <v>70</v>
      </c>
      <c r="E298" s="28" t="s">
        <v>117</v>
      </c>
      <c r="F298" s="29" t="s">
        <v>100</v>
      </c>
      <c r="G298" s="29"/>
      <c r="H298" s="29"/>
    </row>
    <row r="299" spans="1:8" ht="15.6" x14ac:dyDescent="0.3">
      <c r="A299" s="103" t="s">
        <v>118</v>
      </c>
      <c r="B299" s="105">
        <v>10852928</v>
      </c>
      <c r="C299" s="105"/>
      <c r="D299" s="105">
        <v>8365591</v>
      </c>
      <c r="E299" s="105">
        <v>8084078</v>
      </c>
      <c r="F299" s="106">
        <f>D299/B299</f>
        <v>0.77081419871208945</v>
      </c>
      <c r="G299" s="106"/>
      <c r="H299" s="106"/>
    </row>
    <row r="300" spans="1:8" ht="15.6" x14ac:dyDescent="0.3">
      <c r="A300" s="103" t="s">
        <v>119</v>
      </c>
      <c r="B300" s="105">
        <v>11185078</v>
      </c>
      <c r="C300" s="105"/>
      <c r="D300" s="105">
        <v>8586355</v>
      </c>
      <c r="E300" s="105"/>
      <c r="F300" s="106">
        <f>D300/B300</f>
        <v>0.76766161130034138</v>
      </c>
      <c r="G300" s="106"/>
      <c r="H300" s="106"/>
    </row>
    <row r="301" spans="1:8" ht="15.6" x14ac:dyDescent="0.3">
      <c r="A301" s="103" t="s">
        <v>120</v>
      </c>
      <c r="B301" s="106">
        <f>B300/B299</f>
        <v>1.0306046442029284</v>
      </c>
      <c r="C301" s="106"/>
      <c r="D301" s="106">
        <f>D300/D299</f>
        <v>1.026389528247317</v>
      </c>
      <c r="E301" s="29"/>
      <c r="F301" s="106">
        <f>F300/F299</f>
        <v>0.9959100553453536</v>
      </c>
      <c r="G301" s="106"/>
      <c r="H301" s="106"/>
    </row>
    <row r="303" spans="1:8" ht="15.6" x14ac:dyDescent="0.3">
      <c r="B303" s="28" t="s">
        <v>97</v>
      </c>
      <c r="C303" s="28"/>
      <c r="D303" s="28" t="s">
        <v>98</v>
      </c>
      <c r="E303" s="28" t="s">
        <v>99</v>
      </c>
      <c r="F303" s="29" t="s">
        <v>100</v>
      </c>
      <c r="G303" s="29"/>
      <c r="H303" s="29"/>
    </row>
    <row r="304" spans="1:8" ht="15.6" x14ac:dyDescent="0.3">
      <c r="A304" s="103" t="s">
        <v>121</v>
      </c>
      <c r="B304" s="105"/>
      <c r="C304" s="105"/>
      <c r="D304" s="105"/>
      <c r="E304" s="105"/>
      <c r="F304" s="106"/>
      <c r="G304" s="106"/>
      <c r="H304" s="106"/>
    </row>
    <row r="305" spans="1:8" ht="15.6" x14ac:dyDescent="0.3">
      <c r="A305" s="103" t="s">
        <v>122</v>
      </c>
      <c r="B305" s="105">
        <v>11343761</v>
      </c>
      <c r="C305" s="105"/>
      <c r="D305" s="105">
        <v>8762003</v>
      </c>
      <c r="E305" s="105"/>
      <c r="F305" s="106">
        <f>D305/B305</f>
        <v>0.77240722896048319</v>
      </c>
      <c r="G305" s="106"/>
      <c r="H305" s="106"/>
    </row>
    <row r="306" spans="1:8" ht="15.6" x14ac:dyDescent="0.3">
      <c r="A306" s="103" t="s">
        <v>123</v>
      </c>
      <c r="B306" s="106"/>
      <c r="C306" s="106"/>
      <c r="D306" s="106"/>
      <c r="E306" s="29"/>
      <c r="F306" s="106"/>
      <c r="G306" s="106"/>
      <c r="H306" s="106"/>
    </row>
    <row r="308" spans="1:8" ht="15.6" x14ac:dyDescent="0.3">
      <c r="B308" s="28" t="s">
        <v>97</v>
      </c>
      <c r="C308" s="28"/>
      <c r="D308" s="28" t="s">
        <v>98</v>
      </c>
      <c r="E308" s="28" t="s">
        <v>99</v>
      </c>
      <c r="F308" s="29" t="s">
        <v>100</v>
      </c>
      <c r="G308" s="29"/>
      <c r="H308" s="29"/>
    </row>
    <row r="309" spans="1:8" ht="15.6" x14ac:dyDescent="0.3">
      <c r="A309" s="103" t="s">
        <v>124</v>
      </c>
      <c r="B309" s="105"/>
      <c r="C309" s="105"/>
      <c r="D309" s="105"/>
      <c r="E309" s="105"/>
      <c r="F309" s="106"/>
      <c r="G309" s="106"/>
      <c r="H309" s="106"/>
    </row>
    <row r="310" spans="1:8" ht="15.6" x14ac:dyDescent="0.3">
      <c r="A310" s="103" t="s">
        <v>125</v>
      </c>
      <c r="B310" s="105">
        <v>11231025</v>
      </c>
      <c r="C310" s="105"/>
      <c r="D310" s="105">
        <v>8818994</v>
      </c>
      <c r="E310" s="105"/>
      <c r="F310" s="106">
        <f>D310/B310</f>
        <v>0.78523500749041164</v>
      </c>
      <c r="G310" s="106"/>
      <c r="H310" s="106"/>
    </row>
    <row r="311" spans="1:8" ht="15.6" x14ac:dyDescent="0.3">
      <c r="A311" s="103" t="s">
        <v>126</v>
      </c>
      <c r="B311" s="106"/>
      <c r="C311" s="106"/>
      <c r="D311" s="106"/>
      <c r="E311" s="29"/>
      <c r="F311" s="106"/>
      <c r="G311" s="106"/>
      <c r="H311" s="106"/>
    </row>
    <row r="313" spans="1:8" ht="15.6" x14ac:dyDescent="0.3">
      <c r="B313" s="28" t="s">
        <v>97</v>
      </c>
      <c r="C313" s="28"/>
      <c r="D313" s="28" t="s">
        <v>98</v>
      </c>
      <c r="E313" s="28" t="s">
        <v>99</v>
      </c>
      <c r="F313" s="29" t="s">
        <v>100</v>
      </c>
      <c r="G313" s="29"/>
      <c r="H313" s="29"/>
    </row>
    <row r="314" spans="1:8" ht="15.6" x14ac:dyDescent="0.3">
      <c r="A314" s="103" t="s">
        <v>127</v>
      </c>
      <c r="B314" s="105"/>
      <c r="C314" s="105"/>
      <c r="D314" s="105"/>
      <c r="E314" s="105"/>
      <c r="F314" s="106"/>
      <c r="G314" s="106"/>
      <c r="H314" s="106"/>
    </row>
    <row r="315" spans="1:8" ht="15.6" x14ac:dyDescent="0.3">
      <c r="A315" s="103" t="s">
        <v>128</v>
      </c>
      <c r="B315" s="105">
        <v>11013983</v>
      </c>
      <c r="C315" s="105"/>
      <c r="D315" s="105">
        <v>8654363</v>
      </c>
      <c r="E315" s="105"/>
      <c r="F315" s="106">
        <f>D315/B315</f>
        <v>0.78576142708773022</v>
      </c>
      <c r="G315" s="106"/>
      <c r="H315" s="106"/>
    </row>
    <row r="316" spans="1:8" ht="15.6" x14ac:dyDescent="0.3">
      <c r="A316" s="103" t="s">
        <v>129</v>
      </c>
      <c r="B316" s="106"/>
      <c r="C316" s="106"/>
      <c r="D316" s="106"/>
      <c r="E316" s="29"/>
      <c r="F316" s="106"/>
      <c r="G316" s="106"/>
      <c r="H316" s="106"/>
    </row>
    <row r="318" spans="1:8" ht="15.6" x14ac:dyDescent="0.3">
      <c r="B318" s="28" t="s">
        <v>97</v>
      </c>
      <c r="C318" s="28"/>
      <c r="D318" s="28" t="s">
        <v>98</v>
      </c>
      <c r="E318" s="28" t="s">
        <v>99</v>
      </c>
      <c r="F318" s="29" t="s">
        <v>100</v>
      </c>
      <c r="G318" s="29"/>
      <c r="H318" s="29"/>
    </row>
    <row r="319" spans="1:8" ht="15.6" x14ac:dyDescent="0.3">
      <c r="A319" s="103" t="s">
        <v>130</v>
      </c>
      <c r="B319" s="105"/>
      <c r="C319" s="105"/>
      <c r="D319" s="105"/>
      <c r="E319" s="105"/>
      <c r="F319" s="106"/>
      <c r="G319" s="106"/>
      <c r="H319" s="106"/>
    </row>
    <row r="320" spans="1:8" ht="15.6" x14ac:dyDescent="0.3">
      <c r="A320" s="103" t="s">
        <v>131</v>
      </c>
      <c r="B320" s="105">
        <v>10796104</v>
      </c>
      <c r="C320" s="105"/>
      <c r="D320" s="105">
        <v>8191583</v>
      </c>
      <c r="E320" s="105"/>
      <c r="F320" s="106">
        <f>D320/B320</f>
        <v>0.75875362075059671</v>
      </c>
      <c r="G320" s="106"/>
      <c r="H320" s="106"/>
    </row>
    <row r="321" spans="1:8" ht="15.6" x14ac:dyDescent="0.3">
      <c r="A321" s="103" t="s">
        <v>132</v>
      </c>
      <c r="B321" s="106"/>
      <c r="C321" s="106"/>
      <c r="D321" s="106"/>
      <c r="E321" s="29"/>
      <c r="F321" s="106"/>
      <c r="G321" s="106"/>
      <c r="H321" s="106"/>
    </row>
    <row r="323" spans="1:8" ht="15.6" x14ac:dyDescent="0.3">
      <c r="B323" s="28" t="s">
        <v>97</v>
      </c>
      <c r="C323" s="28"/>
      <c r="D323" s="28" t="s">
        <v>98</v>
      </c>
      <c r="E323" s="28" t="s">
        <v>99</v>
      </c>
      <c r="F323" s="29" t="s">
        <v>100</v>
      </c>
      <c r="G323" s="29"/>
      <c r="H323" s="29"/>
    </row>
    <row r="324" spans="1:8" ht="15.6" x14ac:dyDescent="0.3">
      <c r="A324" s="103" t="s">
        <v>133</v>
      </c>
      <c r="B324" s="105"/>
      <c r="C324" s="105"/>
      <c r="D324" s="105"/>
      <c r="E324" s="105"/>
      <c r="F324" s="106"/>
      <c r="G324" s="106"/>
      <c r="H324" s="106"/>
    </row>
    <row r="325" spans="1:8" ht="15.6" x14ac:dyDescent="0.3">
      <c r="A325" s="103" t="s">
        <v>134</v>
      </c>
      <c r="B325" s="105">
        <v>10423704</v>
      </c>
      <c r="C325" s="105"/>
      <c r="D325" s="105">
        <v>7376705</v>
      </c>
      <c r="E325" s="105"/>
      <c r="F325" s="106">
        <f>D325/B325</f>
        <v>0.7076855789458335</v>
      </c>
      <c r="G325" s="106"/>
      <c r="H325" s="106"/>
    </row>
    <row r="326" spans="1:8" ht="15.6" x14ac:dyDescent="0.3">
      <c r="A326" s="103" t="s">
        <v>135</v>
      </c>
      <c r="B326" s="106"/>
      <c r="C326" s="106"/>
      <c r="D326" s="106"/>
      <c r="E326" s="29"/>
      <c r="F326" s="106"/>
      <c r="G326" s="106"/>
      <c r="H326" s="106"/>
    </row>
    <row r="328" spans="1:8" ht="15.6" x14ac:dyDescent="0.3">
      <c r="B328" s="28" t="s">
        <v>97</v>
      </c>
      <c r="C328" s="28"/>
      <c r="D328" s="28" t="s">
        <v>98</v>
      </c>
      <c r="E328" s="28" t="s">
        <v>99</v>
      </c>
      <c r="F328" s="29" t="s">
        <v>100</v>
      </c>
      <c r="G328" s="29"/>
      <c r="H328" s="29"/>
    </row>
    <row r="329" spans="1:8" ht="15.6" x14ac:dyDescent="0.3">
      <c r="A329" s="103" t="s">
        <v>136</v>
      </c>
      <c r="B329" s="105"/>
      <c r="C329" s="105"/>
      <c r="D329" s="105"/>
      <c r="E329" s="105"/>
      <c r="F329" s="106"/>
      <c r="G329" s="106"/>
      <c r="H329" s="106"/>
    </row>
    <row r="330" spans="1:8" ht="15.6" x14ac:dyDescent="0.3">
      <c r="A330" s="103" t="s">
        <v>137</v>
      </c>
      <c r="B330" s="105">
        <v>10434279</v>
      </c>
      <c r="C330" s="105"/>
      <c r="D330" s="105">
        <v>7995802</v>
      </c>
      <c r="E330" s="105"/>
      <c r="F330" s="106">
        <f>D330/B330</f>
        <v>0.76630134195184929</v>
      </c>
      <c r="G330" s="106"/>
      <c r="H330" s="106"/>
    </row>
    <row r="331" spans="1:8" ht="15.6" x14ac:dyDescent="0.3">
      <c r="A331" s="103" t="s">
        <v>138</v>
      </c>
      <c r="B331" s="106"/>
      <c r="C331" s="106"/>
      <c r="D331" s="106"/>
      <c r="E331" s="29"/>
      <c r="F331" s="106"/>
      <c r="G331" s="106"/>
      <c r="H331" s="106"/>
    </row>
    <row r="333" spans="1:8" ht="15.6" x14ac:dyDescent="0.3">
      <c r="B333" s="28" t="s">
        <v>97</v>
      </c>
      <c r="C333" s="28"/>
      <c r="D333" s="28" t="s">
        <v>98</v>
      </c>
      <c r="E333" s="28" t="s">
        <v>99</v>
      </c>
      <c r="F333" s="29" t="s">
        <v>100</v>
      </c>
      <c r="G333" s="29"/>
      <c r="H333" s="29"/>
    </row>
    <row r="334" spans="1:8" ht="15.6" x14ac:dyDescent="0.3">
      <c r="A334" s="103" t="s">
        <v>139</v>
      </c>
      <c r="B334" s="105"/>
      <c r="C334" s="105"/>
      <c r="D334" s="105"/>
      <c r="E334" s="105"/>
      <c r="F334" s="106"/>
      <c r="G334" s="106"/>
      <c r="H334" s="106"/>
    </row>
    <row r="335" spans="1:8" ht="15.6" x14ac:dyDescent="0.3">
      <c r="A335" s="103" t="s">
        <v>140</v>
      </c>
      <c r="B335" s="105">
        <v>10171652</v>
      </c>
      <c r="C335" s="105"/>
      <c r="D335" s="105">
        <v>7883745</v>
      </c>
      <c r="E335" s="105"/>
      <c r="F335" s="106">
        <f>D335/B335</f>
        <v>0.77507026390600076</v>
      </c>
      <c r="G335" s="106"/>
      <c r="H335" s="106"/>
    </row>
    <row r="336" spans="1:8" ht="15.6" x14ac:dyDescent="0.3">
      <c r="A336" s="103" t="s">
        <v>141</v>
      </c>
      <c r="B336" s="106"/>
      <c r="C336" s="106"/>
      <c r="D336" s="106"/>
      <c r="E336" s="29"/>
      <c r="F336" s="106"/>
      <c r="G336" s="106"/>
      <c r="H336" s="106"/>
    </row>
    <row r="338" spans="1:8" ht="15.6" x14ac:dyDescent="0.3">
      <c r="B338" s="28" t="s">
        <v>97</v>
      </c>
      <c r="C338" s="28"/>
      <c r="D338" s="28" t="s">
        <v>98</v>
      </c>
      <c r="E338" s="28" t="s">
        <v>99</v>
      </c>
      <c r="F338" s="29" t="s">
        <v>100</v>
      </c>
      <c r="G338" s="29"/>
      <c r="H338" s="29"/>
    </row>
    <row r="339" spans="1:8" ht="15.6" x14ac:dyDescent="0.3">
      <c r="A339" s="103" t="s">
        <v>142</v>
      </c>
      <c r="B339" s="105"/>
      <c r="C339" s="105"/>
      <c r="D339" s="105"/>
      <c r="E339" s="105"/>
      <c r="F339" s="106"/>
      <c r="G339" s="106"/>
      <c r="H339" s="106"/>
    </row>
    <row r="340" spans="1:8" ht="15.6" x14ac:dyDescent="0.3">
      <c r="A340" s="103" t="s">
        <v>143</v>
      </c>
      <c r="B340" s="105">
        <v>10136741</v>
      </c>
      <c r="C340" s="105"/>
      <c r="D340" s="105">
        <v>6955613</v>
      </c>
      <c r="E340" s="105"/>
      <c r="F340" s="106">
        <f>D340/B340</f>
        <v>0.68617842756365188</v>
      </c>
      <c r="G340" s="106"/>
      <c r="H340" s="106"/>
    </row>
    <row r="341" spans="1:8" ht="15.6" x14ac:dyDescent="0.3">
      <c r="A341" s="103" t="s">
        <v>144</v>
      </c>
      <c r="B341" s="106"/>
      <c r="C341" s="106"/>
      <c r="D341" s="106"/>
      <c r="E341" s="29"/>
      <c r="F341" s="106"/>
      <c r="G341" s="106"/>
      <c r="H341" s="106"/>
    </row>
    <row r="343" spans="1:8" ht="15.6" x14ac:dyDescent="0.3">
      <c r="B343" s="28" t="s">
        <v>97</v>
      </c>
      <c r="C343" s="28"/>
      <c r="D343" s="28" t="s">
        <v>98</v>
      </c>
      <c r="E343" s="28" t="s">
        <v>99</v>
      </c>
      <c r="F343" s="29" t="s">
        <v>100</v>
      </c>
      <c r="G343" s="29"/>
      <c r="H343" s="29"/>
    </row>
    <row r="344" spans="1:8" ht="15.6" x14ac:dyDescent="0.3">
      <c r="A344" s="103" t="s">
        <v>145</v>
      </c>
      <c r="B344" s="105"/>
      <c r="C344" s="105"/>
      <c r="D344" s="105"/>
      <c r="E344" s="105"/>
      <c r="F344" s="106"/>
      <c r="G344" s="106"/>
      <c r="H344" s="106"/>
    </row>
    <row r="345" spans="1:8" ht="15.6" x14ac:dyDescent="0.3">
      <c r="A345" s="103" t="s">
        <v>146</v>
      </c>
      <c r="B345" s="105">
        <v>9904638</v>
      </c>
      <c r="C345" s="105"/>
      <c r="D345" s="105">
        <v>8061843</v>
      </c>
      <c r="E345" s="105"/>
      <c r="F345" s="106">
        <f>D345/B345</f>
        <v>0.81394625426996925</v>
      </c>
      <c r="G345" s="106"/>
      <c r="H345" s="106"/>
    </row>
    <row r="346" spans="1:8" ht="15.6" x14ac:dyDescent="0.3">
      <c r="A346" s="103" t="s">
        <v>147</v>
      </c>
      <c r="B346" s="106"/>
      <c r="C346" s="106"/>
      <c r="D346" s="106"/>
      <c r="E346" s="29"/>
      <c r="F346" s="106"/>
      <c r="G346" s="106"/>
      <c r="H346" s="106"/>
    </row>
    <row r="348" spans="1:8" ht="15.6" x14ac:dyDescent="0.3">
      <c r="B348" s="28" t="s">
        <v>97</v>
      </c>
      <c r="C348" s="28"/>
      <c r="D348" s="28" t="s">
        <v>98</v>
      </c>
      <c r="E348" s="28" t="s">
        <v>99</v>
      </c>
      <c r="F348" s="29" t="s">
        <v>100</v>
      </c>
      <c r="G348" s="29"/>
      <c r="H348" s="29"/>
    </row>
    <row r="349" spans="1:8" ht="15.6" x14ac:dyDescent="0.3">
      <c r="A349" s="103" t="s">
        <v>148</v>
      </c>
      <c r="B349" s="105"/>
      <c r="C349" s="105"/>
      <c r="D349" s="105"/>
      <c r="E349" s="105"/>
      <c r="F349" s="106"/>
      <c r="G349" s="106"/>
      <c r="H349" s="106"/>
    </row>
    <row r="350" spans="1:8" ht="15.6" x14ac:dyDescent="0.3">
      <c r="A350" s="103" t="s">
        <v>149</v>
      </c>
      <c r="B350" s="105">
        <v>9697161</v>
      </c>
      <c r="C350" s="105"/>
      <c r="D350" s="105">
        <v>7367283</v>
      </c>
      <c r="E350" s="105"/>
      <c r="F350" s="106">
        <f>D350/B350</f>
        <v>0.75973607120682018</v>
      </c>
      <c r="G350" s="106"/>
      <c r="H350" s="106"/>
    </row>
    <row r="351" spans="1:8" ht="15.6" x14ac:dyDescent="0.3">
      <c r="A351" s="103" t="s">
        <v>150</v>
      </c>
      <c r="B351" s="106"/>
      <c r="C351" s="106"/>
      <c r="D351" s="106"/>
      <c r="E351" s="29"/>
      <c r="F351" s="106"/>
      <c r="G351" s="106"/>
      <c r="H351" s="106"/>
    </row>
    <row r="354" spans="1:1" ht="15.6" x14ac:dyDescent="0.3">
      <c r="A354" s="104" t="s">
        <v>151</v>
      </c>
    </row>
    <row r="355" spans="1:1" ht="15.6" x14ac:dyDescent="0.3">
      <c r="A355" s="103" t="s">
        <v>152</v>
      </c>
    </row>
    <row r="356" spans="1:1" ht="15.6" x14ac:dyDescent="0.3">
      <c r="A356" s="28" t="s">
        <v>153</v>
      </c>
    </row>
    <row r="358" spans="1:1" ht="15.6" x14ac:dyDescent="0.3">
      <c r="A358" s="104" t="s">
        <v>154</v>
      </c>
    </row>
    <row r="359" spans="1:1" ht="15.6" x14ac:dyDescent="0.3">
      <c r="A359" s="28" t="s">
        <v>155</v>
      </c>
    </row>
    <row r="360" spans="1:1" ht="15.6" x14ac:dyDescent="0.3">
      <c r="A360" s="28" t="s">
        <v>156</v>
      </c>
    </row>
    <row r="361" spans="1:1" ht="15.6" x14ac:dyDescent="0.3">
      <c r="A361" s="103" t="s">
        <v>157</v>
      </c>
    </row>
    <row r="362" spans="1:1" ht="15.6" x14ac:dyDescent="0.3">
      <c r="A362" s="103" t="s">
        <v>158</v>
      </c>
    </row>
    <row r="364" spans="1:1" ht="15.6" x14ac:dyDescent="0.3">
      <c r="A364" s="104" t="s">
        <v>159</v>
      </c>
    </row>
    <row r="365" spans="1:1" ht="15.6" x14ac:dyDescent="0.3">
      <c r="A365" s="103" t="s">
        <v>160</v>
      </c>
    </row>
    <row r="366" spans="1:1" ht="15.6" x14ac:dyDescent="0.3">
      <c r="A366" s="28" t="s">
        <v>161</v>
      </c>
    </row>
  </sheetData>
  <mergeCells count="11">
    <mergeCell ref="AK4:AM4"/>
    <mergeCell ref="AE4:AJ4"/>
    <mergeCell ref="B4:K4"/>
    <mergeCell ref="L4:R4"/>
    <mergeCell ref="S4:X4"/>
    <mergeCell ref="Y4:AD4"/>
    <mergeCell ref="A254:O254"/>
    <mergeCell ref="A255:O255"/>
    <mergeCell ref="A259:O259"/>
    <mergeCell ref="A269:O269"/>
    <mergeCell ref="A253:O25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0"/>
  </sheetPr>
  <dimension ref="A1:X36"/>
  <sheetViews>
    <sheetView workbookViewId="0">
      <pane xSplit="1" ySplit="5" topLeftCell="B17" activePane="bottomRight" state="frozen"/>
      <selection pane="topRight" activeCell="B1" sqref="B1"/>
      <selection pane="bottomLeft" activeCell="A6" sqref="A6"/>
      <selection pane="bottomRight" activeCell="Q36" sqref="Q36"/>
    </sheetView>
  </sheetViews>
  <sheetFormatPr baseColWidth="10" defaultRowHeight="15" x14ac:dyDescent="0.25"/>
  <cols>
    <col min="1" max="22" width="5.6328125" customWidth="1"/>
  </cols>
  <sheetData>
    <row r="1" spans="1:22" ht="15.6" x14ac:dyDescent="0.3">
      <c r="A1" s="27" t="s">
        <v>29</v>
      </c>
    </row>
    <row r="2" spans="1:22" x14ac:dyDescent="0.25">
      <c r="A2" s="28"/>
      <c r="I2" s="10"/>
      <c r="J2" s="10"/>
      <c r="K2" s="10"/>
    </row>
    <row r="3" spans="1:22" ht="15.6" thickBot="1" x14ac:dyDescent="0.3">
      <c r="A3" s="28"/>
    </row>
    <row r="4" spans="1:22" ht="16.2" customHeight="1" thickTop="1" thickBot="1" x14ac:dyDescent="0.3">
      <c r="A4" s="28"/>
      <c r="B4" s="141" t="s">
        <v>30</v>
      </c>
      <c r="C4" s="142"/>
      <c r="D4" s="142"/>
      <c r="E4" s="142"/>
      <c r="F4" s="142"/>
      <c r="G4" s="142"/>
      <c r="H4" s="142"/>
      <c r="I4" s="142"/>
      <c r="J4" s="142"/>
      <c r="K4" s="143"/>
      <c r="L4" s="141" t="s">
        <v>31</v>
      </c>
      <c r="M4" s="142"/>
      <c r="N4" s="142"/>
      <c r="O4" s="142"/>
      <c r="P4" s="142"/>
      <c r="Q4" s="142"/>
      <c r="R4" s="142"/>
      <c r="S4" s="142"/>
      <c r="T4" s="142"/>
      <c r="U4" s="143"/>
      <c r="V4" s="41"/>
    </row>
    <row r="5" spans="1:22" ht="16.2" thickTop="1" thickBot="1" x14ac:dyDescent="0.3">
      <c r="A5" s="29"/>
      <c r="B5" s="37" t="s">
        <v>8</v>
      </c>
      <c r="C5" s="38" t="s">
        <v>9</v>
      </c>
      <c r="D5" s="38" t="s">
        <v>10</v>
      </c>
      <c r="E5" s="38" t="s">
        <v>11</v>
      </c>
      <c r="F5" s="36" t="s">
        <v>12</v>
      </c>
      <c r="G5" s="37" t="s">
        <v>14</v>
      </c>
      <c r="H5" s="36" t="s">
        <v>15</v>
      </c>
      <c r="I5" s="37" t="s">
        <v>16</v>
      </c>
      <c r="J5" s="38" t="s">
        <v>10</v>
      </c>
      <c r="K5" s="36" t="s">
        <v>17</v>
      </c>
      <c r="L5" s="37" t="s">
        <v>8</v>
      </c>
      <c r="M5" s="38" t="s">
        <v>9</v>
      </c>
      <c r="N5" s="38" t="s">
        <v>10</v>
      </c>
      <c r="O5" s="38" t="s">
        <v>11</v>
      </c>
      <c r="P5" s="36" t="s">
        <v>12</v>
      </c>
      <c r="Q5" s="37" t="s">
        <v>14</v>
      </c>
      <c r="R5" s="36" t="s">
        <v>15</v>
      </c>
      <c r="S5" s="37" t="s">
        <v>16</v>
      </c>
      <c r="T5" s="38" t="s">
        <v>10</v>
      </c>
      <c r="U5" s="36" t="s">
        <v>17</v>
      </c>
      <c r="V5" s="36"/>
    </row>
    <row r="6" spans="1:22" ht="15.6" thickTop="1" x14ac:dyDescent="0.25">
      <c r="A6" s="29">
        <v>1994</v>
      </c>
      <c r="B6" s="30">
        <v>0.11243577300752321</v>
      </c>
      <c r="C6" s="31">
        <v>0.33597138709087765</v>
      </c>
      <c r="D6" s="31">
        <v>3.5989667016145706E-2</v>
      </c>
      <c r="E6" s="31">
        <v>0.39374906976215079</v>
      </c>
      <c r="F6" s="32">
        <v>0.12185410318993899</v>
      </c>
      <c r="G6" s="34">
        <v>0.46640199404912919</v>
      </c>
      <c r="H6" s="40">
        <v>0.53359800595087081</v>
      </c>
      <c r="I6" s="30">
        <v>0.44840715920991669</v>
      </c>
      <c r="J6" s="31">
        <v>3.5989667016145706E-2</v>
      </c>
      <c r="K6" s="31">
        <v>0.51560317314247928</v>
      </c>
      <c r="L6" s="30">
        <v>0.11243577281114767</v>
      </c>
      <c r="M6" s="31">
        <v>0.33597138762550127</v>
      </c>
      <c r="N6" s="31">
        <v>3.5989667078222154E-2</v>
      </c>
      <c r="O6" s="31">
        <v>0.39374906941637572</v>
      </c>
      <c r="P6" s="32">
        <v>0.12185410305412459</v>
      </c>
      <c r="Q6" s="30">
        <v>0.46640199404912919</v>
      </c>
      <c r="R6" s="32">
        <v>0.53359800595087081</v>
      </c>
      <c r="S6" s="30">
        <v>0.44840716032393363</v>
      </c>
      <c r="T6" s="31">
        <v>3.5989667078222154E-2</v>
      </c>
      <c r="U6" s="32">
        <v>0.51560317244436438</v>
      </c>
      <c r="V6" s="42">
        <v>0.5</v>
      </c>
    </row>
    <row r="7" spans="1:22" x14ac:dyDescent="0.25">
      <c r="A7" s="29">
        <f>A6+1</f>
        <v>1995</v>
      </c>
      <c r="B7" s="11"/>
      <c r="C7" s="6"/>
      <c r="D7" s="6"/>
      <c r="E7" s="6"/>
      <c r="F7" s="12"/>
      <c r="G7" s="11"/>
      <c r="H7" s="12"/>
      <c r="I7" s="11"/>
      <c r="J7" s="6"/>
      <c r="K7" s="12"/>
      <c r="L7" s="11"/>
      <c r="M7" s="6"/>
      <c r="N7" s="6"/>
      <c r="O7" s="6"/>
      <c r="P7" s="12"/>
      <c r="Q7" s="11"/>
      <c r="R7" s="12"/>
      <c r="S7" s="11"/>
      <c r="T7" s="6"/>
      <c r="U7" s="12"/>
      <c r="V7" s="42">
        <v>0.5</v>
      </c>
    </row>
    <row r="8" spans="1:22" x14ac:dyDescent="0.25">
      <c r="A8" s="29">
        <f t="shared" ref="A8:A36" si="0">A7+1</f>
        <v>1996</v>
      </c>
      <c r="B8" s="11"/>
      <c r="C8" s="6"/>
      <c r="D8" s="6"/>
      <c r="E8" s="6"/>
      <c r="F8" s="12"/>
      <c r="G8" s="11"/>
      <c r="H8" s="12"/>
      <c r="I8" s="11"/>
      <c r="J8" s="6"/>
      <c r="K8" s="12"/>
      <c r="L8" s="11"/>
      <c r="M8" s="6"/>
      <c r="N8" s="6"/>
      <c r="O8" s="6"/>
      <c r="P8" s="12"/>
      <c r="Q8" s="11"/>
      <c r="R8" s="12"/>
      <c r="S8" s="11"/>
      <c r="T8" s="6"/>
      <c r="U8" s="12"/>
      <c r="V8" s="42">
        <v>0.5</v>
      </c>
    </row>
    <row r="9" spans="1:22" x14ac:dyDescent="0.25">
      <c r="A9" s="29">
        <f t="shared" si="0"/>
        <v>1997</v>
      </c>
      <c r="B9" s="11"/>
      <c r="C9" s="6"/>
      <c r="D9" s="6"/>
      <c r="E9" s="6"/>
      <c r="F9" s="12"/>
      <c r="G9" s="11"/>
      <c r="H9" s="12"/>
      <c r="I9" s="11"/>
      <c r="J9" s="6"/>
      <c r="K9" s="12"/>
      <c r="L9" s="11"/>
      <c r="M9" s="6"/>
      <c r="N9" s="6"/>
      <c r="O9" s="6"/>
      <c r="P9" s="12"/>
      <c r="Q9" s="11"/>
      <c r="R9" s="12"/>
      <c r="S9" s="11"/>
      <c r="T9" s="6"/>
      <c r="U9" s="12"/>
      <c r="V9" s="42">
        <v>0.5</v>
      </c>
    </row>
    <row r="10" spans="1:22" x14ac:dyDescent="0.25">
      <c r="A10" s="29">
        <f t="shared" si="0"/>
        <v>1998</v>
      </c>
      <c r="B10" s="11"/>
      <c r="C10" s="6"/>
      <c r="D10" s="6"/>
      <c r="E10" s="6"/>
      <c r="F10" s="12"/>
      <c r="G10" s="11"/>
      <c r="H10" s="12"/>
      <c r="I10" s="11"/>
      <c r="J10" s="6"/>
      <c r="K10" s="12"/>
      <c r="L10" s="11"/>
      <c r="M10" s="6"/>
      <c r="N10" s="6"/>
      <c r="O10" s="6"/>
      <c r="P10" s="12"/>
      <c r="Q10" s="11"/>
      <c r="R10" s="12"/>
      <c r="S10" s="11"/>
      <c r="T10" s="6"/>
      <c r="U10" s="12"/>
      <c r="V10" s="42">
        <v>0.5</v>
      </c>
    </row>
    <row r="11" spans="1:22" x14ac:dyDescent="0.25">
      <c r="A11" s="29">
        <f t="shared" si="0"/>
        <v>1999</v>
      </c>
      <c r="B11" s="30">
        <v>0.14223841131297968</v>
      </c>
      <c r="C11" s="31">
        <v>0.33783509138179363</v>
      </c>
      <c r="D11" s="31">
        <v>3.7061081048961594E-2</v>
      </c>
      <c r="E11" s="31">
        <v>0.37082659857038514</v>
      </c>
      <c r="F11" s="32">
        <v>0.11203881786541291</v>
      </c>
      <c r="G11" s="34">
        <v>0.49860404261553048</v>
      </c>
      <c r="H11" s="40">
        <v>0.50139595738446952</v>
      </c>
      <c r="I11" s="30">
        <v>0.48007350304679874</v>
      </c>
      <c r="J11" s="31">
        <v>3.7061081048961594E-2</v>
      </c>
      <c r="K11" s="31">
        <v>0.48286541657660825</v>
      </c>
      <c r="L11" s="30">
        <v>0.14224696576603651</v>
      </c>
      <c r="M11" s="31">
        <v>0.33783477394882927</v>
      </c>
      <c r="N11" s="31">
        <v>3.7062944301566002E-2</v>
      </c>
      <c r="O11" s="31">
        <v>0.37081243315465029</v>
      </c>
      <c r="P11" s="32">
        <v>0.11204288269515142</v>
      </c>
      <c r="Q11" s="30">
        <v>0.49861321201370706</v>
      </c>
      <c r="R11" s="32">
        <v>0.50138678798629299</v>
      </c>
      <c r="S11" s="30">
        <v>0.48008173942271082</v>
      </c>
      <c r="T11" s="31">
        <v>3.7062944301566002E-2</v>
      </c>
      <c r="U11" s="32">
        <v>0.48285531560573641</v>
      </c>
      <c r="V11" s="42">
        <v>0.5</v>
      </c>
    </row>
    <row r="12" spans="1:22" x14ac:dyDescent="0.25">
      <c r="A12" s="29">
        <f t="shared" si="0"/>
        <v>2000</v>
      </c>
      <c r="B12" s="11"/>
      <c r="C12" s="6"/>
      <c r="D12" s="6"/>
      <c r="E12" s="6"/>
      <c r="F12" s="12"/>
      <c r="G12" s="11"/>
      <c r="H12" s="12"/>
      <c r="I12" s="11"/>
      <c r="J12" s="6"/>
      <c r="K12" s="12"/>
      <c r="L12" s="11"/>
      <c r="M12" s="6"/>
      <c r="N12" s="6"/>
      <c r="O12" s="6"/>
      <c r="P12" s="12"/>
      <c r="Q12" s="11"/>
      <c r="R12" s="12"/>
      <c r="S12" s="11"/>
      <c r="T12" s="6"/>
      <c r="U12" s="12"/>
      <c r="V12" s="42">
        <v>0.5</v>
      </c>
    </row>
    <row r="13" spans="1:22" x14ac:dyDescent="0.25">
      <c r="A13" s="29">
        <f t="shared" si="0"/>
        <v>2001</v>
      </c>
      <c r="B13" s="11"/>
      <c r="C13" s="6"/>
      <c r="D13" s="6"/>
      <c r="E13" s="6"/>
      <c r="F13" s="12"/>
      <c r="G13" s="11"/>
      <c r="H13" s="12"/>
      <c r="I13" s="11"/>
      <c r="J13" s="6"/>
      <c r="K13" s="12"/>
      <c r="L13" s="11"/>
      <c r="M13" s="6"/>
      <c r="N13" s="6"/>
      <c r="O13" s="6"/>
      <c r="P13" s="12"/>
      <c r="Q13" s="11"/>
      <c r="R13" s="12"/>
      <c r="S13" s="11"/>
      <c r="T13" s="6"/>
      <c r="U13" s="12"/>
      <c r="V13" s="42">
        <v>0.5</v>
      </c>
    </row>
    <row r="14" spans="1:22" x14ac:dyDescent="0.25">
      <c r="A14" s="29">
        <f t="shared" si="0"/>
        <v>2002</v>
      </c>
      <c r="B14" s="11"/>
      <c r="C14" s="6"/>
      <c r="D14" s="6"/>
      <c r="E14" s="6"/>
      <c r="F14" s="12"/>
      <c r="G14" s="11"/>
      <c r="H14" s="12"/>
      <c r="I14" s="11"/>
      <c r="J14" s="6"/>
      <c r="K14" s="12"/>
      <c r="L14" s="11"/>
      <c r="M14" s="6"/>
      <c r="N14" s="6"/>
      <c r="O14" s="6"/>
      <c r="P14" s="12"/>
      <c r="Q14" s="11"/>
      <c r="R14" s="12"/>
      <c r="S14" s="11"/>
      <c r="T14" s="6"/>
      <c r="U14" s="12"/>
      <c r="V14" s="42">
        <v>0.5</v>
      </c>
    </row>
    <row r="15" spans="1:22" x14ac:dyDescent="0.25">
      <c r="A15" s="29">
        <f t="shared" si="0"/>
        <v>2003</v>
      </c>
      <c r="B15" s="11"/>
      <c r="C15" s="6"/>
      <c r="D15" s="6"/>
      <c r="E15" s="6"/>
      <c r="F15" s="12"/>
      <c r="G15" s="11"/>
      <c r="H15" s="12"/>
      <c r="I15" s="11"/>
      <c r="J15" s="6"/>
      <c r="K15" s="12"/>
      <c r="L15" s="11"/>
      <c r="M15" s="6"/>
      <c r="N15" s="6"/>
      <c r="O15" s="6"/>
      <c r="P15" s="12"/>
      <c r="Q15" s="11"/>
      <c r="R15" s="12"/>
      <c r="S15" s="11"/>
      <c r="T15" s="6"/>
      <c r="U15" s="12"/>
      <c r="V15" s="42">
        <v>0.5</v>
      </c>
    </row>
    <row r="16" spans="1:22" x14ac:dyDescent="0.25">
      <c r="A16" s="29">
        <f t="shared" si="0"/>
        <v>2004</v>
      </c>
      <c r="B16" s="30">
        <v>0.10130710243588562</v>
      </c>
      <c r="C16" s="31">
        <v>0.37903608842607178</v>
      </c>
      <c r="D16" s="31">
        <v>1.4066497819469261E-2</v>
      </c>
      <c r="E16" s="31">
        <v>0.39179969022440186</v>
      </c>
      <c r="F16" s="32">
        <v>0.11379062145228279</v>
      </c>
      <c r="G16" s="34">
        <v>0.48737643982531781</v>
      </c>
      <c r="H16" s="40">
        <v>0.51262356017468214</v>
      </c>
      <c r="I16" s="30">
        <v>0.48034319061473335</v>
      </c>
      <c r="J16" s="31">
        <v>1.4066497819469261E-2</v>
      </c>
      <c r="K16" s="31">
        <v>0.50559031276737887</v>
      </c>
      <c r="L16" s="30">
        <v>0.1013134085243189</v>
      </c>
      <c r="M16" s="31">
        <v>0.37904392806354348</v>
      </c>
      <c r="N16" s="31">
        <v>1.4066251578254118E-2</v>
      </c>
      <c r="O16" s="31">
        <v>0.39177833267824824</v>
      </c>
      <c r="P16" s="32">
        <v>0.11379807942902663</v>
      </c>
      <c r="Q16" s="30">
        <v>0.48739046215372278</v>
      </c>
      <c r="R16" s="32">
        <v>0.51260953784627716</v>
      </c>
      <c r="S16" s="30">
        <v>0.48035733703080663</v>
      </c>
      <c r="T16" s="31">
        <v>1.4066251578254118E-2</v>
      </c>
      <c r="U16" s="32">
        <v>0.50557641233571471</v>
      </c>
      <c r="V16" s="42">
        <v>0.5</v>
      </c>
    </row>
    <row r="17" spans="1:22" x14ac:dyDescent="0.25">
      <c r="A17" s="29">
        <f t="shared" si="0"/>
        <v>2005</v>
      </c>
      <c r="B17" s="33"/>
      <c r="C17" s="35"/>
      <c r="D17" s="35"/>
      <c r="E17" s="35"/>
      <c r="F17" s="39"/>
      <c r="G17" s="11"/>
      <c r="H17" s="12"/>
      <c r="I17" s="11"/>
      <c r="J17" s="6"/>
      <c r="K17" s="12"/>
      <c r="L17" s="33"/>
      <c r="M17" s="35"/>
      <c r="N17" s="35"/>
      <c r="O17" s="35"/>
      <c r="P17" s="39"/>
      <c r="Q17" s="11"/>
      <c r="R17" s="12"/>
      <c r="S17" s="11"/>
      <c r="T17" s="6"/>
      <c r="U17" s="12"/>
      <c r="V17" s="42">
        <v>0.5</v>
      </c>
    </row>
    <row r="18" spans="1:22" x14ac:dyDescent="0.25">
      <c r="A18" s="29">
        <f t="shared" si="0"/>
        <v>2006</v>
      </c>
      <c r="B18" s="33"/>
      <c r="C18" s="35"/>
      <c r="D18" s="35"/>
      <c r="E18" s="35"/>
      <c r="F18" s="39"/>
      <c r="G18" s="11"/>
      <c r="H18" s="12"/>
      <c r="I18" s="11"/>
      <c r="J18" s="6"/>
      <c r="K18" s="12"/>
      <c r="L18" s="33"/>
      <c r="M18" s="35"/>
      <c r="N18" s="35"/>
      <c r="O18" s="35"/>
      <c r="P18" s="39"/>
      <c r="Q18" s="11"/>
      <c r="R18" s="12"/>
      <c r="S18" s="11"/>
      <c r="T18" s="6"/>
      <c r="U18" s="12"/>
      <c r="V18" s="42">
        <v>0.5</v>
      </c>
    </row>
    <row r="19" spans="1:22" x14ac:dyDescent="0.25">
      <c r="A19" s="29">
        <f t="shared" si="0"/>
        <v>2007</v>
      </c>
      <c r="B19" s="33"/>
      <c r="C19" s="35"/>
      <c r="D19" s="35"/>
      <c r="E19" s="35"/>
      <c r="F19" s="39"/>
      <c r="G19" s="11"/>
      <c r="H19" s="12"/>
      <c r="I19" s="11"/>
      <c r="J19" s="6"/>
      <c r="K19" s="12"/>
      <c r="L19" s="33"/>
      <c r="M19" s="35"/>
      <c r="N19" s="35"/>
      <c r="O19" s="35"/>
      <c r="P19" s="39"/>
      <c r="Q19" s="11"/>
      <c r="R19" s="12"/>
      <c r="S19" s="11"/>
      <c r="T19" s="6"/>
      <c r="U19" s="12"/>
      <c r="V19" s="42">
        <v>0.5</v>
      </c>
    </row>
    <row r="20" spans="1:22" x14ac:dyDescent="0.25">
      <c r="A20" s="29">
        <f t="shared" si="0"/>
        <v>2008</v>
      </c>
      <c r="B20" s="33"/>
      <c r="C20" s="35"/>
      <c r="D20" s="35"/>
      <c r="E20" s="35"/>
      <c r="F20" s="39"/>
      <c r="G20" s="11"/>
      <c r="H20" s="12"/>
      <c r="I20" s="11"/>
      <c r="J20" s="6"/>
      <c r="K20" s="12"/>
      <c r="L20" s="33"/>
      <c r="M20" s="35"/>
      <c r="N20" s="35"/>
      <c r="O20" s="35"/>
      <c r="P20" s="39"/>
      <c r="Q20" s="11"/>
      <c r="R20" s="12"/>
      <c r="S20" s="11"/>
      <c r="T20" s="6"/>
      <c r="U20" s="12"/>
      <c r="V20" s="42">
        <v>0.5</v>
      </c>
    </row>
    <row r="21" spans="1:22" x14ac:dyDescent="0.25">
      <c r="A21" s="29">
        <f t="shared" si="0"/>
        <v>2009</v>
      </c>
      <c r="B21" s="30">
        <v>0.1335705394568564</v>
      </c>
      <c r="C21" s="31">
        <v>0.33687314309657906</v>
      </c>
      <c r="D21" s="31">
        <v>9.3953967012157719E-2</v>
      </c>
      <c r="E21" s="31">
        <v>0.36131678058400651</v>
      </c>
      <c r="F21" s="32">
        <v>7.4285569481379765E-2</v>
      </c>
      <c r="G21" s="34">
        <v>0.51742066626573169</v>
      </c>
      <c r="H21" s="40">
        <v>0.48257933373426831</v>
      </c>
      <c r="I21" s="30">
        <v>0.4704436821192936</v>
      </c>
      <c r="J21" s="31">
        <v>9.3953967012157719E-2</v>
      </c>
      <c r="K21" s="31">
        <v>0.43560234952994464</v>
      </c>
      <c r="L21" s="30">
        <v>0.1335705392834716</v>
      </c>
      <c r="M21" s="31">
        <v>0.33687314356345316</v>
      </c>
      <c r="N21" s="31">
        <v>9.3953966908973868E-2</v>
      </c>
      <c r="O21" s="31">
        <v>0.36131678109260973</v>
      </c>
      <c r="P21" s="32">
        <v>7.4285569267997648E-2</v>
      </c>
      <c r="Q21" s="30">
        <v>0.51742066626542749</v>
      </c>
      <c r="R21" s="32">
        <v>0.48257933373457246</v>
      </c>
      <c r="S21" s="30">
        <v>0.47044368308802753</v>
      </c>
      <c r="T21" s="31">
        <v>9.3953966908973868E-2</v>
      </c>
      <c r="U21" s="32">
        <v>0.43560235054485802</v>
      </c>
      <c r="V21" s="42">
        <v>0.5</v>
      </c>
    </row>
    <row r="22" spans="1:22" x14ac:dyDescent="0.25">
      <c r="A22" s="29">
        <f t="shared" si="0"/>
        <v>2010</v>
      </c>
      <c r="B22" s="33"/>
      <c r="C22" s="35"/>
      <c r="D22" s="35"/>
      <c r="E22" s="35"/>
      <c r="F22" s="39"/>
      <c r="G22" s="11"/>
      <c r="H22" s="12"/>
      <c r="I22" s="11"/>
      <c r="J22" s="6"/>
      <c r="K22" s="12"/>
      <c r="L22" s="33"/>
      <c r="M22" s="35"/>
      <c r="N22" s="35"/>
      <c r="O22" s="35"/>
      <c r="P22" s="39"/>
      <c r="Q22" s="11"/>
      <c r="R22" s="12"/>
      <c r="S22" s="11"/>
      <c r="T22" s="6"/>
      <c r="U22" s="12"/>
      <c r="V22" s="42">
        <v>0.5</v>
      </c>
    </row>
    <row r="23" spans="1:22" x14ac:dyDescent="0.25">
      <c r="A23" s="29">
        <f t="shared" si="0"/>
        <v>2011</v>
      </c>
      <c r="B23" s="33"/>
      <c r="C23" s="35"/>
      <c r="D23" s="35"/>
      <c r="E23" s="35"/>
      <c r="F23" s="39"/>
      <c r="G23" s="11"/>
      <c r="H23" s="12"/>
      <c r="I23" s="11"/>
      <c r="J23" s="6"/>
      <c r="K23" s="12"/>
      <c r="L23" s="33"/>
      <c r="M23" s="35"/>
      <c r="N23" s="35"/>
      <c r="O23" s="35"/>
      <c r="P23" s="39"/>
      <c r="Q23" s="11"/>
      <c r="R23" s="12"/>
      <c r="S23" s="11"/>
      <c r="T23" s="6"/>
      <c r="U23" s="12"/>
      <c r="V23" s="42">
        <v>0.5</v>
      </c>
    </row>
    <row r="24" spans="1:22" x14ac:dyDescent="0.25">
      <c r="A24" s="29">
        <f t="shared" si="0"/>
        <v>2012</v>
      </c>
      <c r="B24" s="33"/>
      <c r="C24" s="35"/>
      <c r="D24" s="35"/>
      <c r="E24" s="35"/>
      <c r="F24" s="39"/>
      <c r="G24" s="11"/>
      <c r="H24" s="12"/>
      <c r="I24" s="11"/>
      <c r="J24" s="6"/>
      <c r="K24" s="12"/>
      <c r="L24" s="33"/>
      <c r="M24" s="35"/>
      <c r="N24" s="35"/>
      <c r="O24" s="35"/>
      <c r="P24" s="39"/>
      <c r="Q24" s="11"/>
      <c r="R24" s="12"/>
      <c r="S24" s="11"/>
      <c r="T24" s="6"/>
      <c r="U24" s="12"/>
      <c r="V24" s="42">
        <v>0.5</v>
      </c>
    </row>
    <row r="25" spans="1:22" x14ac:dyDescent="0.25">
      <c r="A25" s="29">
        <f t="shared" si="0"/>
        <v>2013</v>
      </c>
      <c r="B25" s="33"/>
      <c r="C25" s="35"/>
      <c r="D25" s="35"/>
      <c r="E25" s="35"/>
      <c r="F25" s="39"/>
      <c r="G25" s="11"/>
      <c r="H25" s="12"/>
      <c r="I25" s="11"/>
      <c r="J25" s="6"/>
      <c r="K25" s="12"/>
      <c r="L25" s="33"/>
      <c r="M25" s="35"/>
      <c r="N25" s="35"/>
      <c r="O25" s="35"/>
      <c r="P25" s="39"/>
      <c r="Q25" s="11"/>
      <c r="R25" s="12"/>
      <c r="S25" s="11"/>
      <c r="T25" s="6"/>
      <c r="U25" s="12"/>
      <c r="V25" s="42">
        <v>0.5</v>
      </c>
    </row>
    <row r="26" spans="1:22" x14ac:dyDescent="0.25">
      <c r="A26" s="29">
        <f t="shared" si="0"/>
        <v>2014</v>
      </c>
      <c r="B26" s="30">
        <v>8.8769383266783103E-2</v>
      </c>
      <c r="C26" s="31">
        <v>0.26668757304764834</v>
      </c>
      <c r="D26" s="31">
        <v>0.10799023661416848</v>
      </c>
      <c r="E26" s="31">
        <v>0.27602481855445055</v>
      </c>
      <c r="F26" s="32">
        <v>0.26052798829327478</v>
      </c>
      <c r="G26" s="34">
        <v>0.40945207429916092</v>
      </c>
      <c r="H26" s="40">
        <v>0.59054792570083914</v>
      </c>
      <c r="I26" s="30">
        <v>0.35545695570919389</v>
      </c>
      <c r="J26" s="31">
        <v>0.10799023661416848</v>
      </c>
      <c r="K26" s="31">
        <v>0.53655280737401878</v>
      </c>
      <c r="L26" s="30">
        <v>8.8769383037304736E-2</v>
      </c>
      <c r="M26" s="31">
        <v>0.26668757358827572</v>
      </c>
      <c r="N26" s="31">
        <v>0.10799023588463733</v>
      </c>
      <c r="O26" s="31">
        <v>0.27602481939517598</v>
      </c>
      <c r="P26" s="32">
        <v>0.26052798888829798</v>
      </c>
      <c r="Q26" s="30">
        <v>0.40945207429336372</v>
      </c>
      <c r="R26" s="32">
        <v>0.59054792570663628</v>
      </c>
      <c r="S26" s="30">
        <v>0.35545695680383493</v>
      </c>
      <c r="T26" s="31">
        <v>0.10799023588463733</v>
      </c>
      <c r="U26" s="32">
        <v>0.53655280855751497</v>
      </c>
      <c r="V26" s="42">
        <v>0.5</v>
      </c>
    </row>
    <row r="27" spans="1:22" x14ac:dyDescent="0.25">
      <c r="A27" s="29">
        <f t="shared" si="0"/>
        <v>2015</v>
      </c>
      <c r="B27" s="33"/>
      <c r="C27" s="35"/>
      <c r="D27" s="35"/>
      <c r="E27" s="35"/>
      <c r="F27" s="39"/>
      <c r="G27" s="11"/>
      <c r="H27" s="12"/>
      <c r="I27" s="11"/>
      <c r="J27" s="6"/>
      <c r="K27" s="12"/>
      <c r="L27" s="33"/>
      <c r="M27" s="35"/>
      <c r="N27" s="35"/>
      <c r="O27" s="35"/>
      <c r="P27" s="39"/>
      <c r="Q27" s="11"/>
      <c r="R27" s="12"/>
      <c r="S27" s="11"/>
      <c r="T27" s="6"/>
      <c r="U27" s="12"/>
      <c r="V27" s="42">
        <v>0.5</v>
      </c>
    </row>
    <row r="28" spans="1:22" x14ac:dyDescent="0.25">
      <c r="A28" s="29">
        <f t="shared" si="0"/>
        <v>2016</v>
      </c>
      <c r="B28" s="33"/>
      <c r="C28" s="35"/>
      <c r="D28" s="35"/>
      <c r="E28" s="35"/>
      <c r="F28" s="39"/>
      <c r="G28" s="11"/>
      <c r="H28" s="12"/>
      <c r="I28" s="11"/>
      <c r="J28" s="6"/>
      <c r="K28" s="12"/>
      <c r="L28" s="33"/>
      <c r="M28" s="35"/>
      <c r="N28" s="35"/>
      <c r="O28" s="35"/>
      <c r="P28" s="39"/>
      <c r="Q28" s="11"/>
      <c r="R28" s="12"/>
      <c r="S28" s="11"/>
      <c r="T28" s="6"/>
      <c r="U28" s="12"/>
      <c r="V28" s="42">
        <v>0.5</v>
      </c>
    </row>
    <row r="29" spans="1:22" x14ac:dyDescent="0.25">
      <c r="A29" s="29">
        <f t="shared" si="0"/>
        <v>2017</v>
      </c>
      <c r="B29" s="33"/>
      <c r="C29" s="35"/>
      <c r="D29" s="35"/>
      <c r="E29" s="35"/>
      <c r="F29" s="39"/>
      <c r="G29" s="11"/>
      <c r="H29" s="12"/>
      <c r="I29" s="11"/>
      <c r="J29" s="6"/>
      <c r="K29" s="12"/>
      <c r="L29" s="33"/>
      <c r="M29" s="35"/>
      <c r="N29" s="35"/>
      <c r="O29" s="35"/>
      <c r="P29" s="39"/>
      <c r="Q29" s="11"/>
      <c r="R29" s="12"/>
      <c r="S29" s="11"/>
      <c r="T29" s="6"/>
      <c r="U29" s="12"/>
      <c r="V29" s="42">
        <v>0.5</v>
      </c>
    </row>
    <row r="30" spans="1:22" x14ac:dyDescent="0.25">
      <c r="A30" s="29">
        <f t="shared" si="0"/>
        <v>2018</v>
      </c>
      <c r="B30" s="33"/>
      <c r="C30" s="35"/>
      <c r="D30" s="35"/>
      <c r="E30" s="35"/>
      <c r="F30" s="39"/>
      <c r="G30" s="11"/>
      <c r="H30" s="12"/>
      <c r="I30" s="11"/>
      <c r="J30" s="6"/>
      <c r="K30" s="12"/>
      <c r="L30" s="33"/>
      <c r="M30" s="35"/>
      <c r="N30" s="35"/>
      <c r="O30" s="35"/>
      <c r="P30" s="39"/>
      <c r="Q30" s="11"/>
      <c r="R30" s="12"/>
      <c r="S30" s="11"/>
      <c r="T30" s="6"/>
      <c r="U30" s="12"/>
      <c r="V30" s="42">
        <v>0.5</v>
      </c>
    </row>
    <row r="31" spans="1:22" x14ac:dyDescent="0.25">
      <c r="A31" s="29">
        <f t="shared" si="0"/>
        <v>2019</v>
      </c>
      <c r="B31" s="30">
        <v>0.10327371744397235</v>
      </c>
      <c r="C31" s="31">
        <v>0.23805779198101809</v>
      </c>
      <c r="D31" s="31">
        <v>0.25045427779431995</v>
      </c>
      <c r="E31" s="31">
        <v>0.11842988421478232</v>
      </c>
      <c r="F31" s="32">
        <v>0.2897843309565839</v>
      </c>
      <c r="G31" s="34">
        <v>0.46655864709360828</v>
      </c>
      <c r="H31" s="40">
        <v>0.53344135290639172</v>
      </c>
      <c r="I31" s="30">
        <v>0.34133151037683385</v>
      </c>
      <c r="J31" s="31">
        <v>0.25045427779431995</v>
      </c>
      <c r="K31" s="31">
        <v>0.40821421596825835</v>
      </c>
      <c r="L31" s="30">
        <v>0.10324521366762109</v>
      </c>
      <c r="M31" s="31">
        <v>0.23806394195077785</v>
      </c>
      <c r="N31" s="31">
        <v>0.25047109413137481</v>
      </c>
      <c r="O31" s="31">
        <v>0.1184394875898204</v>
      </c>
      <c r="P31" s="32">
        <v>0.28978026269615154</v>
      </c>
      <c r="Q31" s="30">
        <v>0.46654470251842073</v>
      </c>
      <c r="R31" s="32">
        <v>0.53345529748157927</v>
      </c>
      <c r="S31" s="30">
        <v>0.34130915588783917</v>
      </c>
      <c r="T31" s="31">
        <v>0.25047109413137481</v>
      </c>
      <c r="U31" s="32">
        <v>0.40821975026855079</v>
      </c>
      <c r="V31" s="42">
        <v>0.5</v>
      </c>
    </row>
    <row r="32" spans="1:22" x14ac:dyDescent="0.25">
      <c r="A32" s="29">
        <f t="shared" si="0"/>
        <v>2020</v>
      </c>
      <c r="B32" s="33"/>
      <c r="C32" s="35"/>
      <c r="D32" s="35"/>
      <c r="E32" s="35"/>
      <c r="F32" s="39"/>
      <c r="G32" s="11"/>
      <c r="H32" s="12"/>
      <c r="I32" s="11"/>
      <c r="J32" s="6"/>
      <c r="K32" s="12"/>
      <c r="L32" s="33"/>
      <c r="M32" s="35"/>
      <c r="N32" s="35"/>
      <c r="O32" s="35"/>
      <c r="P32" s="39"/>
      <c r="Q32" s="11"/>
      <c r="R32" s="12"/>
      <c r="S32" s="11"/>
      <c r="T32" s="6"/>
      <c r="U32" s="12"/>
      <c r="V32" s="42">
        <v>0.5</v>
      </c>
    </row>
    <row r="33" spans="1:24" x14ac:dyDescent="0.25">
      <c r="A33" s="29">
        <f t="shared" si="0"/>
        <v>2021</v>
      </c>
      <c r="B33" s="33"/>
      <c r="C33" s="35"/>
      <c r="D33" s="35"/>
      <c r="E33" s="35"/>
      <c r="F33" s="39"/>
      <c r="G33" s="11"/>
      <c r="H33" s="12"/>
      <c r="I33" s="11"/>
      <c r="J33" s="6"/>
      <c r="K33" s="12"/>
      <c r="L33" s="33"/>
      <c r="M33" s="35"/>
      <c r="N33" s="35"/>
      <c r="O33" s="35"/>
      <c r="P33" s="39"/>
      <c r="Q33" s="11"/>
      <c r="R33" s="12"/>
      <c r="S33" s="11"/>
      <c r="T33" s="6"/>
      <c r="U33" s="12"/>
      <c r="V33" s="42">
        <v>0.5</v>
      </c>
    </row>
    <row r="34" spans="1:24" x14ac:dyDescent="0.25">
      <c r="A34" s="29">
        <f t="shared" si="0"/>
        <v>2022</v>
      </c>
      <c r="B34" s="33"/>
      <c r="C34" s="35"/>
      <c r="D34" s="35"/>
      <c r="E34" s="35"/>
      <c r="F34" s="39"/>
      <c r="G34" s="11"/>
      <c r="H34" s="12"/>
      <c r="I34" s="11"/>
      <c r="J34" s="6"/>
      <c r="K34" s="12"/>
      <c r="L34" s="33"/>
      <c r="M34" s="35"/>
      <c r="N34" s="35"/>
      <c r="O34" s="35"/>
      <c r="P34" s="39"/>
      <c r="Q34" s="11"/>
      <c r="R34" s="12"/>
      <c r="S34" s="11"/>
      <c r="T34" s="6"/>
      <c r="U34" s="12"/>
      <c r="V34" s="42">
        <v>0.5</v>
      </c>
    </row>
    <row r="35" spans="1:24" x14ac:dyDescent="0.25">
      <c r="A35" s="29">
        <f t="shared" si="0"/>
        <v>2023</v>
      </c>
      <c r="B35" s="33"/>
      <c r="C35" s="35"/>
      <c r="D35" s="35"/>
      <c r="E35" s="35"/>
      <c r="F35" s="39"/>
      <c r="G35" s="11"/>
      <c r="H35" s="12"/>
      <c r="I35" s="11"/>
      <c r="J35" s="6"/>
      <c r="K35" s="12"/>
      <c r="L35" s="33"/>
      <c r="M35" s="35"/>
      <c r="N35" s="35"/>
      <c r="O35" s="35"/>
      <c r="P35" s="39"/>
      <c r="Q35" s="11"/>
      <c r="R35" s="12"/>
      <c r="S35" s="11"/>
      <c r="T35" s="6"/>
      <c r="U35" s="12"/>
      <c r="V35" s="42">
        <v>0.5</v>
      </c>
    </row>
    <row r="36" spans="1:24" x14ac:dyDescent="0.25">
      <c r="A36" s="29">
        <f t="shared" si="0"/>
        <v>2024</v>
      </c>
      <c r="B36" s="30">
        <v>0.14398566975175286</v>
      </c>
      <c r="C36" s="31">
        <v>0.20890152043777743</v>
      </c>
      <c r="D36" s="31">
        <v>0.16136108393420193</v>
      </c>
      <c r="E36" s="31">
        <v>8.8771784355258967E-2</v>
      </c>
      <c r="F36" s="32">
        <v>0.39697994311765428</v>
      </c>
      <c r="G36" s="34">
        <v>0.4335677307418821</v>
      </c>
      <c r="H36" s="40">
        <v>0.56643226925811785</v>
      </c>
      <c r="I36" s="30">
        <v>0.35288719160427945</v>
      </c>
      <c r="J36" s="31">
        <v>0.16136108393420193</v>
      </c>
      <c r="K36" s="31">
        <v>0.48575172878660888</v>
      </c>
      <c r="L36" s="30">
        <v>0.14398566958383646</v>
      </c>
      <c r="M36" s="31">
        <v>0.20890151933940992</v>
      </c>
      <c r="N36" s="31">
        <v>0.16136108382353137</v>
      </c>
      <c r="O36" s="31">
        <v>8.8771784940823092E-2</v>
      </c>
      <c r="P36" s="32">
        <v>0.39697994210816173</v>
      </c>
      <c r="Q36" s="30">
        <v>0.43356773073905103</v>
      </c>
      <c r="R36" s="32">
        <v>0.56643226926094892</v>
      </c>
      <c r="S36" s="30">
        <v>0.3528871891986024</v>
      </c>
      <c r="T36" s="31">
        <v>0.16136108382353137</v>
      </c>
      <c r="U36" s="32">
        <v>0.48575172676362399</v>
      </c>
      <c r="V36" s="42">
        <v>0.5</v>
      </c>
      <c r="X36" s="112"/>
    </row>
  </sheetData>
  <mergeCells count="2">
    <mergeCell ref="B4:K4"/>
    <mergeCell ref="L4:U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2"/>
  <sheetViews>
    <sheetView workbookViewId="0">
      <pane xSplit="1" ySplit="3" topLeftCell="B27" activePane="bottomRight" state="frozen"/>
      <selection activeCell="H55" sqref="H55"/>
      <selection pane="topRight" activeCell="H55" sqref="H55"/>
      <selection pane="bottomLeft" activeCell="H55" sqref="H55"/>
      <selection pane="bottomRight" activeCell="H16" sqref="H16"/>
    </sheetView>
  </sheetViews>
  <sheetFormatPr baseColWidth="10" defaultRowHeight="14.4" x14ac:dyDescent="0.3"/>
  <cols>
    <col min="1" max="1" width="16.7265625" style="53" customWidth="1"/>
    <col min="2" max="16384" width="10.90625" style="53"/>
  </cols>
  <sheetData>
    <row r="1" spans="1:13" ht="15.6" x14ac:dyDescent="0.3">
      <c r="A1" s="27" t="s">
        <v>179</v>
      </c>
    </row>
    <row r="2" spans="1:13" ht="15.6" x14ac:dyDescent="0.3">
      <c r="A2" s="28"/>
    </row>
    <row r="3" spans="1:13" ht="15" thickBot="1" x14ac:dyDescent="0.35"/>
    <row r="4" spans="1:13" ht="16.8" thickTop="1" thickBot="1" x14ac:dyDescent="0.35">
      <c r="A4" s="115">
        <v>1994</v>
      </c>
      <c r="B4" s="144" t="s">
        <v>180</v>
      </c>
      <c r="C4" s="145"/>
      <c r="D4" s="145"/>
      <c r="E4" s="145"/>
      <c r="F4" s="145"/>
      <c r="H4" s="115">
        <v>2019</v>
      </c>
      <c r="I4" s="144" t="s">
        <v>180</v>
      </c>
      <c r="J4" s="145"/>
      <c r="K4" s="145"/>
      <c r="L4" s="145"/>
      <c r="M4" s="145"/>
    </row>
    <row r="5" spans="1:13" ht="16.2" thickTop="1" x14ac:dyDescent="0.3">
      <c r="A5" s="116"/>
      <c r="B5" s="116" t="s">
        <v>181</v>
      </c>
      <c r="C5" s="116" t="s">
        <v>182</v>
      </c>
      <c r="D5" s="116" t="s">
        <v>183</v>
      </c>
      <c r="E5" s="116" t="s">
        <v>184</v>
      </c>
      <c r="F5" s="116" t="s">
        <v>185</v>
      </c>
      <c r="H5" s="116"/>
      <c r="I5" s="116" t="s">
        <v>181</v>
      </c>
      <c r="J5" s="116" t="s">
        <v>182</v>
      </c>
      <c r="K5" s="116" t="s">
        <v>183</v>
      </c>
      <c r="L5" s="116" t="s">
        <v>184</v>
      </c>
      <c r="M5" s="116" t="s">
        <v>185</v>
      </c>
    </row>
    <row r="6" spans="1:13" ht="15.6" x14ac:dyDescent="0.3">
      <c r="A6" s="5" t="s">
        <v>6</v>
      </c>
      <c r="B6" s="117">
        <v>2.4482676759362221E-2</v>
      </c>
      <c r="C6" s="117">
        <v>2.3903198540210724E-2</v>
      </c>
      <c r="D6" s="117">
        <v>2.1409140899777412E-2</v>
      </c>
      <c r="E6" s="117">
        <v>1.9972875714302063E-2</v>
      </c>
      <c r="F6" s="117">
        <v>2.2790312767028809E-2</v>
      </c>
      <c r="H6" s="116" t="s">
        <v>6</v>
      </c>
      <c r="I6" s="117">
        <v>8.9724101126194E-3</v>
      </c>
      <c r="J6" s="117">
        <v>8.2273613661527634E-3</v>
      </c>
      <c r="K6" s="117">
        <v>6.6377436742186546E-3</v>
      </c>
      <c r="L6" s="117">
        <v>5.6831762194633484E-3</v>
      </c>
      <c r="M6" s="117">
        <v>7.6093757525086403E-3</v>
      </c>
    </row>
    <row r="7" spans="1:13" ht="15.6" x14ac:dyDescent="0.3">
      <c r="A7" s="5" t="s">
        <v>25</v>
      </c>
      <c r="B7" s="117">
        <v>4.9221590161323547E-3</v>
      </c>
      <c r="C7" s="117">
        <v>4.8010400496423244E-3</v>
      </c>
      <c r="D7" s="117">
        <v>4.0615550242364407E-3</v>
      </c>
      <c r="E7" s="117">
        <v>3.2513451296836138E-3</v>
      </c>
      <c r="F7" s="117">
        <v>4.4051916338503361E-3</v>
      </c>
      <c r="H7" s="116" t="s">
        <v>3</v>
      </c>
      <c r="I7" s="117">
        <v>2.218581922352314E-2</v>
      </c>
      <c r="J7" s="117">
        <v>2.3498360067605972E-2</v>
      </c>
      <c r="K7" s="117">
        <v>2.8692662715911865E-2</v>
      </c>
      <c r="L7" s="117">
        <v>2.7386888861656189E-2</v>
      </c>
      <c r="M7" s="117">
        <v>2.5189891457557678E-2</v>
      </c>
    </row>
    <row r="8" spans="1:13" ht="15.6" x14ac:dyDescent="0.3">
      <c r="A8" s="5" t="s">
        <v>3</v>
      </c>
      <c r="B8" s="117">
        <v>5.8877855539321899E-2</v>
      </c>
      <c r="C8" s="117">
        <v>6.784270703792572E-2</v>
      </c>
      <c r="D8" s="117">
        <v>8.8338963687419891E-2</v>
      </c>
      <c r="E8" s="117">
        <v>5.7504083961248398E-2</v>
      </c>
      <c r="F8" s="117">
        <v>7.0028066635131836E-2</v>
      </c>
      <c r="H8" s="116" t="s">
        <v>43</v>
      </c>
      <c r="I8" s="117">
        <v>6.1133503913879395E-2</v>
      </c>
      <c r="J8" s="117">
        <v>6.0102213174104691E-2</v>
      </c>
      <c r="K8" s="117">
        <v>6.2708102166652679E-2</v>
      </c>
      <c r="L8" s="117">
        <v>6.6335812211036682E-2</v>
      </c>
      <c r="M8" s="117">
        <v>6.1895638704299927E-2</v>
      </c>
    </row>
    <row r="9" spans="1:13" ht="15.6" x14ac:dyDescent="0.3">
      <c r="A9" s="5" t="s">
        <v>2</v>
      </c>
      <c r="B9" s="117">
        <v>0.13416211307048798</v>
      </c>
      <c r="C9" s="117">
        <v>0.14490634202957153</v>
      </c>
      <c r="D9" s="117">
        <v>0.14613960683345795</v>
      </c>
      <c r="E9" s="117">
        <v>0.16167812049388885</v>
      </c>
      <c r="F9" s="117">
        <v>0.14496070146560669</v>
      </c>
      <c r="H9" s="116" t="s">
        <v>44</v>
      </c>
      <c r="I9" s="117">
        <v>2.9422251507639885E-2</v>
      </c>
      <c r="J9" s="117">
        <v>3.1299583613872528E-2</v>
      </c>
      <c r="K9" s="117">
        <v>3.3686894923448563E-2</v>
      </c>
      <c r="L9" s="117">
        <v>4.0192652493715286E-2</v>
      </c>
      <c r="M9" s="117">
        <v>3.2722759991884232E-2</v>
      </c>
    </row>
    <row r="10" spans="1:13" ht="15.6" x14ac:dyDescent="0.3">
      <c r="A10" s="5" t="s">
        <v>26</v>
      </c>
      <c r="B10" s="117">
        <v>2.3406475782394409E-2</v>
      </c>
      <c r="C10" s="117">
        <v>2.5392113253474236E-2</v>
      </c>
      <c r="D10" s="117">
        <v>2.5890424847602844E-2</v>
      </c>
      <c r="E10" s="117">
        <v>2.8920279815793037E-2</v>
      </c>
      <c r="F10" s="117">
        <v>2.5538528338074684E-2</v>
      </c>
      <c r="H10" s="116" t="s">
        <v>2</v>
      </c>
      <c r="I10" s="117">
        <v>5.4452717304229736E-2</v>
      </c>
      <c r="J10" s="117">
        <v>6.0551352798938751E-2</v>
      </c>
      <c r="K10" s="117">
        <v>6.3226118683815002E-2</v>
      </c>
      <c r="L10" s="117">
        <v>7.6359383761882782E-2</v>
      </c>
      <c r="M10" s="117">
        <v>6.2010649591684341E-2</v>
      </c>
    </row>
    <row r="11" spans="1:13" ht="15.6" x14ac:dyDescent="0.3">
      <c r="A11" s="5" t="s">
        <v>7</v>
      </c>
      <c r="B11" s="117">
        <v>0.11188503354787827</v>
      </c>
      <c r="C11" s="117">
        <v>0.12328376621007919</v>
      </c>
      <c r="D11" s="117">
        <v>0.12760846316814423</v>
      </c>
      <c r="E11" s="117">
        <v>0.11637967079877853</v>
      </c>
      <c r="F11" s="117">
        <v>0.12076149880886078</v>
      </c>
      <c r="H11" s="116" t="s">
        <v>186</v>
      </c>
      <c r="I11" s="117">
        <v>0.11402418464422226</v>
      </c>
      <c r="J11" s="117">
        <v>0.12432827800512314</v>
      </c>
      <c r="K11" s="117">
        <v>0.14351820945739746</v>
      </c>
      <c r="L11" s="117">
        <v>0.18000176548957825</v>
      </c>
      <c r="M11" s="117">
        <v>0.13477247953414917</v>
      </c>
    </row>
    <row r="12" spans="1:13" ht="15.6" x14ac:dyDescent="0.3">
      <c r="A12" s="5" t="s">
        <v>187</v>
      </c>
      <c r="B12" s="117">
        <v>2.795296348631382E-2</v>
      </c>
      <c r="C12" s="117">
        <v>2.896675281226635E-2</v>
      </c>
      <c r="D12" s="117">
        <v>3.1718697398900986E-2</v>
      </c>
      <c r="E12" s="117">
        <v>2.9618062078952789E-2</v>
      </c>
      <c r="F12" s="117">
        <v>2.9590370133519173E-2</v>
      </c>
      <c r="H12" s="116" t="s">
        <v>46</v>
      </c>
      <c r="I12" s="117">
        <v>0.19186802208423615</v>
      </c>
      <c r="J12" s="117">
        <v>0.2158098965883255</v>
      </c>
      <c r="K12" s="117">
        <v>0.24016045033931732</v>
      </c>
      <c r="L12" s="117">
        <v>0.26494011282920837</v>
      </c>
      <c r="M12" s="117">
        <v>0.22377879917621613</v>
      </c>
    </row>
    <row r="13" spans="1:13" ht="15.6" x14ac:dyDescent="0.3">
      <c r="A13" s="5" t="s">
        <v>28</v>
      </c>
      <c r="B13" s="117">
        <v>1.7290856689214706E-2</v>
      </c>
      <c r="C13" s="117">
        <v>1.9376983866095543E-2</v>
      </c>
      <c r="D13" s="117">
        <v>2.3484194651246071E-2</v>
      </c>
      <c r="E13" s="117">
        <v>2.0827628672122955E-2</v>
      </c>
      <c r="F13" s="117">
        <v>2.0234072580933571E-2</v>
      </c>
      <c r="H13" s="116" t="s">
        <v>48</v>
      </c>
      <c r="I13" s="117">
        <v>9.024009108543396E-2</v>
      </c>
      <c r="J13" s="117">
        <v>8.2977570593357086E-2</v>
      </c>
      <c r="K13" s="117">
        <v>8.165314793586731E-2</v>
      </c>
      <c r="L13" s="117">
        <v>8.7386317551136017E-2</v>
      </c>
      <c r="M13" s="117">
        <v>8.4822118282318115E-2</v>
      </c>
    </row>
    <row r="14" spans="1:13" ht="15.6" x14ac:dyDescent="0.3">
      <c r="A14" s="5" t="s">
        <v>174</v>
      </c>
      <c r="B14" s="117">
        <v>0.26888489723205566</v>
      </c>
      <c r="C14" s="117">
        <v>0.25294956564903259</v>
      </c>
      <c r="D14" s="117">
        <v>0.23292228579521179</v>
      </c>
      <c r="E14" s="117">
        <v>0.26802417635917664</v>
      </c>
      <c r="F14" s="117">
        <v>0.25326183438301086</v>
      </c>
      <c r="H14" s="116" t="s">
        <v>49</v>
      </c>
      <c r="I14" s="117">
        <v>4.5896433293819427E-2</v>
      </c>
      <c r="J14" s="117">
        <v>3.8404606282711029E-2</v>
      </c>
      <c r="K14" s="117">
        <v>3.1044790521264076E-2</v>
      </c>
      <c r="L14" s="117">
        <v>1.9154613837599754E-2</v>
      </c>
      <c r="M14" s="117">
        <v>3.5475526005029678E-2</v>
      </c>
    </row>
    <row r="15" spans="1:13" ht="15.6" x14ac:dyDescent="0.3">
      <c r="A15" s="5" t="s">
        <v>4</v>
      </c>
      <c r="B15" s="117">
        <v>0.13305898010730743</v>
      </c>
      <c r="C15" s="117">
        <v>0.12388265877962112</v>
      </c>
      <c r="D15" s="117">
        <v>0.11424605548381805</v>
      </c>
      <c r="E15" s="117">
        <v>0.12499288469552994</v>
      </c>
      <c r="F15" s="117">
        <v>0.12354739010334015</v>
      </c>
      <c r="H15" s="116" t="s">
        <v>35</v>
      </c>
      <c r="I15" s="117">
        <v>1.1032916605472565E-2</v>
      </c>
      <c r="J15" s="117">
        <v>1.0923597030341625E-2</v>
      </c>
      <c r="K15" s="117">
        <v>1.2369555421173573E-2</v>
      </c>
      <c r="L15" s="117">
        <v>1.1303316801786423E-2</v>
      </c>
      <c r="M15" s="117">
        <v>1.140944380313158E-2</v>
      </c>
    </row>
    <row r="16" spans="1:13" ht="15.6" x14ac:dyDescent="0.3">
      <c r="A16" s="5" t="s">
        <v>0</v>
      </c>
      <c r="B16" s="117">
        <v>8.804599940776825E-2</v>
      </c>
      <c r="C16" s="117">
        <v>0.10160601884126663</v>
      </c>
      <c r="D16" s="117">
        <v>0.12318727374076843</v>
      </c>
      <c r="E16" s="117">
        <v>0.11622116714715958</v>
      </c>
      <c r="F16" s="117">
        <v>0.10644660890102386</v>
      </c>
      <c r="H16" s="116" t="s">
        <v>51</v>
      </c>
      <c r="I16" s="117">
        <v>0.28323549032211304</v>
      </c>
      <c r="J16" s="117">
        <v>0.25748047232627869</v>
      </c>
      <c r="K16" s="117">
        <v>0.20640809834003448</v>
      </c>
      <c r="L16" s="117">
        <v>0.14711803197860718</v>
      </c>
      <c r="M16" s="117">
        <v>0.2342752069234848</v>
      </c>
    </row>
    <row r="17" spans="1:13" ht="15.6" x14ac:dyDescent="0.3">
      <c r="A17" s="5" t="s">
        <v>5</v>
      </c>
      <c r="B17" s="117">
        <v>6.9194257259368896E-2</v>
      </c>
      <c r="C17" s="117">
        <v>4.2877618223428726E-2</v>
      </c>
      <c r="D17" s="117">
        <v>2.3352585732936859E-2</v>
      </c>
      <c r="E17" s="117">
        <v>1.3807045295834541E-2</v>
      </c>
      <c r="F17" s="117">
        <v>3.9730999618768692E-2</v>
      </c>
      <c r="H17" s="116" t="s">
        <v>52</v>
      </c>
      <c r="I17" s="117">
        <v>6.5428861416876316E-3</v>
      </c>
      <c r="J17" s="117">
        <v>6.1417985707521439E-3</v>
      </c>
      <c r="K17" s="117">
        <v>4.7591463662683964E-3</v>
      </c>
      <c r="L17" s="117">
        <v>3.3020537812262774E-3</v>
      </c>
      <c r="M17" s="117">
        <v>5.4660742171108723E-3</v>
      </c>
    </row>
    <row r="18" spans="1:13" ht="16.2" thickBot="1" x14ac:dyDescent="0.35">
      <c r="A18" s="118"/>
      <c r="B18" s="118"/>
      <c r="C18" s="118"/>
      <c r="D18" s="118"/>
      <c r="E18" s="118"/>
      <c r="F18" s="118"/>
      <c r="H18" s="116" t="s">
        <v>53</v>
      </c>
      <c r="I18" s="117">
        <v>7.9925879836082458E-3</v>
      </c>
      <c r="J18" s="117">
        <v>7.2129215113818645E-3</v>
      </c>
      <c r="K18" s="117">
        <v>5.5112894624471664E-3</v>
      </c>
      <c r="L18" s="117">
        <v>3.8714450784027576E-3</v>
      </c>
      <c r="M18" s="117">
        <v>6.4661330543458462E-3</v>
      </c>
    </row>
    <row r="19" spans="1:13" ht="16.8" thickTop="1" thickBot="1" x14ac:dyDescent="0.35">
      <c r="A19" s="103"/>
      <c r="B19" s="144" t="s">
        <v>180</v>
      </c>
      <c r="C19" s="145"/>
      <c r="D19" s="145"/>
      <c r="E19" s="145"/>
      <c r="F19" s="145"/>
      <c r="H19" s="116" t="s">
        <v>164</v>
      </c>
      <c r="I19" s="117">
        <v>2.279682457447052E-2</v>
      </c>
      <c r="J19" s="117">
        <v>2.263299748301506E-2</v>
      </c>
      <c r="K19" s="117">
        <v>2.270832285284996E-2</v>
      </c>
      <c r="L19" s="117">
        <v>1.7397258430719376E-2</v>
      </c>
      <c r="M19" s="117">
        <v>2.2003430873155594E-2</v>
      </c>
    </row>
    <row r="20" spans="1:13" ht="16.8" thickTop="1" thickBot="1" x14ac:dyDescent="0.35">
      <c r="A20" s="116"/>
      <c r="B20" s="116" t="s">
        <v>181</v>
      </c>
      <c r="C20" s="116" t="s">
        <v>182</v>
      </c>
      <c r="D20" s="116" t="s">
        <v>183</v>
      </c>
      <c r="E20" s="116" t="s">
        <v>184</v>
      </c>
      <c r="F20" s="116" t="s">
        <v>185</v>
      </c>
      <c r="H20" s="118"/>
      <c r="I20" s="118"/>
      <c r="J20" s="118"/>
      <c r="K20" s="118"/>
      <c r="L20" s="118"/>
      <c r="M20" s="118"/>
    </row>
    <row r="21" spans="1:13" ht="16.8" thickTop="1" thickBot="1" x14ac:dyDescent="0.35">
      <c r="A21" s="116" t="str">
        <f t="shared" ref="A21:A32" si="0">A6</f>
        <v>LO</v>
      </c>
      <c r="B21" s="117">
        <f t="shared" ref="B21:F32" si="1">B6/$F6</f>
        <v>1.0742580415474503</v>
      </c>
      <c r="C21" s="117">
        <f t="shared" si="1"/>
        <v>1.0488315269982582</v>
      </c>
      <c r="D21" s="117">
        <f t="shared" si="1"/>
        <v>0.93939653740735118</v>
      </c>
      <c r="E21" s="117">
        <f t="shared" si="1"/>
        <v>0.87637567410646566</v>
      </c>
      <c r="F21" s="117">
        <f t="shared" si="1"/>
        <v>1</v>
      </c>
      <c r="H21" s="103"/>
      <c r="I21" s="144" t="s">
        <v>180</v>
      </c>
      <c r="J21" s="145"/>
      <c r="K21" s="145"/>
      <c r="L21" s="145"/>
      <c r="M21" s="145"/>
    </row>
    <row r="22" spans="1:13" ht="16.2" thickTop="1" x14ac:dyDescent="0.3">
      <c r="A22" s="116" t="str">
        <f t="shared" si="0"/>
        <v>PT</v>
      </c>
      <c r="B22" s="117">
        <f t="shared" si="1"/>
        <v>1.117354118787828</v>
      </c>
      <c r="C22" s="117">
        <f t="shared" si="1"/>
        <v>1.0898595222850722</v>
      </c>
      <c r="D22" s="117">
        <f t="shared" si="1"/>
        <v>0.92199281253207555</v>
      </c>
      <c r="E22" s="117">
        <f t="shared" si="1"/>
        <v>0.73807121231677075</v>
      </c>
      <c r="F22" s="117">
        <f t="shared" si="1"/>
        <v>1</v>
      </c>
      <c r="H22" s="116"/>
      <c r="I22" s="116" t="s">
        <v>181</v>
      </c>
      <c r="J22" s="116" t="s">
        <v>182</v>
      </c>
      <c r="K22" s="116" t="s">
        <v>183</v>
      </c>
      <c r="L22" s="116" t="s">
        <v>184</v>
      </c>
      <c r="M22" s="116" t="s">
        <v>185</v>
      </c>
    </row>
    <row r="23" spans="1:13" ht="15.6" x14ac:dyDescent="0.3">
      <c r="A23" s="116" t="str">
        <f t="shared" si="0"/>
        <v>PCF</v>
      </c>
      <c r="B23" s="117">
        <f t="shared" si="1"/>
        <v>0.84077511158624396</v>
      </c>
      <c r="C23" s="117">
        <f t="shared" si="1"/>
        <v>0.96879308965371669</v>
      </c>
      <c r="D23" s="117">
        <f t="shared" si="1"/>
        <v>1.261479402932735</v>
      </c>
      <c r="E23" s="117">
        <f t="shared" si="1"/>
        <v>0.8211576689795349</v>
      </c>
      <c r="F23" s="117">
        <f t="shared" si="1"/>
        <v>1</v>
      </c>
      <c r="H23" s="116" t="str">
        <f t="shared" ref="H23:H35" si="2">H6</f>
        <v>LO</v>
      </c>
      <c r="I23" s="117">
        <f t="shared" ref="I23:M36" si="3">I6/$M6</f>
        <v>1.1791256476802841</v>
      </c>
      <c r="J23" s="117">
        <f t="shared" si="3"/>
        <v>1.0812137071086794</v>
      </c>
      <c r="K23" s="117">
        <f t="shared" si="3"/>
        <v>0.87231119741068641</v>
      </c>
      <c r="L23" s="117">
        <f t="shared" si="3"/>
        <v>0.7468649734624726</v>
      </c>
      <c r="M23" s="117">
        <f t="shared" si="3"/>
        <v>1</v>
      </c>
    </row>
    <row r="24" spans="1:13" ht="15.6" x14ac:dyDescent="0.3">
      <c r="A24" s="116" t="str">
        <f t="shared" si="0"/>
        <v>PS</v>
      </c>
      <c r="B24" s="117">
        <f t="shared" si="1"/>
        <v>0.92550678710891321</v>
      </c>
      <c r="C24" s="117">
        <f t="shared" si="1"/>
        <v>0.99962500570509416</v>
      </c>
      <c r="D24" s="117">
        <f t="shared" si="1"/>
        <v>1.0081325859762824</v>
      </c>
      <c r="E24" s="117">
        <f t="shared" si="1"/>
        <v>1.1153238005836259</v>
      </c>
      <c r="F24" s="117">
        <f t="shared" si="1"/>
        <v>1</v>
      </c>
      <c r="H24" s="116" t="str">
        <f t="shared" si="2"/>
        <v>PCF</v>
      </c>
      <c r="I24" s="117">
        <f t="shared" si="3"/>
        <v>0.88074294646739215</v>
      </c>
      <c r="J24" s="117">
        <f t="shared" si="3"/>
        <v>0.93284880195685804</v>
      </c>
      <c r="K24" s="117">
        <f t="shared" si="3"/>
        <v>1.1390546388123979</v>
      </c>
      <c r="L24" s="117">
        <f t="shared" si="3"/>
        <v>1.0872174224251907</v>
      </c>
      <c r="M24" s="117">
        <f t="shared" si="3"/>
        <v>1</v>
      </c>
    </row>
    <row r="25" spans="1:13" ht="15.6" x14ac:dyDescent="0.3">
      <c r="A25" s="116" t="str">
        <f t="shared" si="0"/>
        <v>MDC</v>
      </c>
      <c r="B25" s="117">
        <f t="shared" si="1"/>
        <v>0.91651623275012062</v>
      </c>
      <c r="C25" s="117">
        <f t="shared" si="1"/>
        <v>0.99426689421323611</v>
      </c>
      <c r="D25" s="117">
        <f t="shared" si="1"/>
        <v>1.0137790441512453</v>
      </c>
      <c r="E25" s="117">
        <f t="shared" si="1"/>
        <v>1.1324176331913611</v>
      </c>
      <c r="F25" s="117">
        <f t="shared" si="1"/>
        <v>1</v>
      </c>
      <c r="H25" s="116" t="str">
        <f t="shared" si="2"/>
        <v>LFI</v>
      </c>
      <c r="I25" s="117">
        <f t="shared" si="3"/>
        <v>0.98768677718859077</v>
      </c>
      <c r="J25" s="117">
        <f t="shared" si="3"/>
        <v>0.97102500971412309</v>
      </c>
      <c r="K25" s="117">
        <f t="shared" si="3"/>
        <v>1.013126344268523</v>
      </c>
      <c r="L25" s="117">
        <f t="shared" si="3"/>
        <v>1.0717364518677839</v>
      </c>
      <c r="M25" s="117">
        <f t="shared" si="3"/>
        <v>1</v>
      </c>
    </row>
    <row r="26" spans="1:13" ht="15.6" x14ac:dyDescent="0.3">
      <c r="A26" s="116" t="str">
        <f t="shared" si="0"/>
        <v>MRG</v>
      </c>
      <c r="B26" s="117">
        <f t="shared" si="1"/>
        <v>0.9264959001955414</v>
      </c>
      <c r="C26" s="117">
        <f t="shared" si="1"/>
        <v>1.0208863538967052</v>
      </c>
      <c r="D26" s="117">
        <f t="shared" si="1"/>
        <v>1.056698239313183</v>
      </c>
      <c r="E26" s="117">
        <f t="shared" si="1"/>
        <v>0.96371502462868797</v>
      </c>
      <c r="F26" s="117">
        <f t="shared" si="1"/>
        <v>1</v>
      </c>
      <c r="H26" s="116" t="str">
        <f t="shared" si="2"/>
        <v>GEN</v>
      </c>
      <c r="I26" s="117">
        <f t="shared" si="3"/>
        <v>0.89913722176665645</v>
      </c>
      <c r="J26" s="117">
        <f t="shared" si="3"/>
        <v>0.95650805804997274</v>
      </c>
      <c r="K26" s="117">
        <f t="shared" si="3"/>
        <v>1.0294637411943079</v>
      </c>
      <c r="L26" s="117">
        <f t="shared" si="3"/>
        <v>1.2282781924166455</v>
      </c>
      <c r="M26" s="117">
        <f t="shared" si="3"/>
        <v>1</v>
      </c>
    </row>
    <row r="27" spans="1:13" ht="15.6" x14ac:dyDescent="0.3">
      <c r="A27" s="116" t="str">
        <f t="shared" si="0"/>
        <v>Verts</v>
      </c>
      <c r="B27" s="117">
        <f t="shared" si="1"/>
        <v>0.94466420528648465</v>
      </c>
      <c r="C27" s="117">
        <f t="shared" si="1"/>
        <v>0.97892499085212836</v>
      </c>
      <c r="D27" s="117">
        <f t="shared" si="1"/>
        <v>1.0719263481929515</v>
      </c>
      <c r="E27" s="117">
        <f t="shared" si="1"/>
        <v>1.00093584315805</v>
      </c>
      <c r="F27" s="117">
        <f t="shared" si="1"/>
        <v>1</v>
      </c>
      <c r="H27" s="116" t="str">
        <f t="shared" si="2"/>
        <v>PS</v>
      </c>
      <c r="I27" s="117">
        <f t="shared" si="3"/>
        <v>0.87811880157326838</v>
      </c>
      <c r="J27" s="117">
        <f t="shared" si="3"/>
        <v>0.9764669971633182</v>
      </c>
      <c r="K27" s="117">
        <f t="shared" si="3"/>
        <v>1.0196009733833469</v>
      </c>
      <c r="L27" s="117">
        <f t="shared" si="3"/>
        <v>1.2313914507375618</v>
      </c>
      <c r="M27" s="117">
        <f t="shared" si="3"/>
        <v>1</v>
      </c>
    </row>
    <row r="28" spans="1:13" ht="15.6" x14ac:dyDescent="0.3">
      <c r="A28" s="116" t="str">
        <f t="shared" si="0"/>
        <v>GE</v>
      </c>
      <c r="B28" s="117">
        <f t="shared" si="1"/>
        <v>0.85454159660906637</v>
      </c>
      <c r="C28" s="117">
        <f t="shared" si="1"/>
        <v>0.95764131459893764</v>
      </c>
      <c r="D28" s="117">
        <f t="shared" si="1"/>
        <v>1.1606261941244131</v>
      </c>
      <c r="E28" s="117">
        <f t="shared" si="1"/>
        <v>1.0293344846330486</v>
      </c>
      <c r="F28" s="117">
        <f t="shared" si="1"/>
        <v>1</v>
      </c>
      <c r="H28" s="116" t="str">
        <f t="shared" si="2"/>
        <v>EELV</v>
      </c>
      <c r="I28" s="117">
        <f t="shared" si="3"/>
        <v>0.84604946824719041</v>
      </c>
      <c r="J28" s="117">
        <f t="shared" si="3"/>
        <v>0.92250493895246888</v>
      </c>
      <c r="K28" s="117">
        <f t="shared" si="3"/>
        <v>1.0648925504188878</v>
      </c>
      <c r="L28" s="117">
        <f t="shared" si="3"/>
        <v>1.3355973423637184</v>
      </c>
      <c r="M28" s="117">
        <f t="shared" si="3"/>
        <v>1</v>
      </c>
    </row>
    <row r="29" spans="1:13" ht="15.6" x14ac:dyDescent="0.3">
      <c r="A29" s="116" t="str">
        <f t="shared" si="0"/>
        <v>UDF-RPR</v>
      </c>
      <c r="B29" s="117">
        <f t="shared" si="1"/>
        <v>1.0616873951304397</v>
      </c>
      <c r="C29" s="117">
        <f t="shared" si="1"/>
        <v>0.99876701227115794</v>
      </c>
      <c r="D29" s="117">
        <f t="shared" si="1"/>
        <v>0.91968964199698822</v>
      </c>
      <c r="E29" s="117">
        <f t="shared" si="1"/>
        <v>1.0582888535579369</v>
      </c>
      <c r="F29" s="117">
        <f t="shared" si="1"/>
        <v>1</v>
      </c>
      <c r="H29" s="116" t="str">
        <f t="shared" si="2"/>
        <v>REN</v>
      </c>
      <c r="I29" s="117">
        <f t="shared" si="3"/>
        <v>0.85740035602366593</v>
      </c>
      <c r="J29" s="117">
        <f t="shared" si="3"/>
        <v>0.96438937639657518</v>
      </c>
      <c r="K29" s="117">
        <f t="shared" si="3"/>
        <v>1.0732046611359343</v>
      </c>
      <c r="L29" s="117">
        <f t="shared" si="3"/>
        <v>1.1839375034834265</v>
      </c>
      <c r="M29" s="117">
        <f t="shared" si="3"/>
        <v>1</v>
      </c>
    </row>
    <row r="30" spans="1:13" ht="15.6" x14ac:dyDescent="0.3">
      <c r="A30" s="116" t="str">
        <f t="shared" si="0"/>
        <v>MPF</v>
      </c>
      <c r="B30" s="117">
        <f t="shared" si="1"/>
        <v>1.0769873810851964</v>
      </c>
      <c r="C30" s="117">
        <f t="shared" si="1"/>
        <v>1.0027136848135807</v>
      </c>
      <c r="D30" s="117">
        <f t="shared" si="1"/>
        <v>0.92471443863166936</v>
      </c>
      <c r="E30" s="117">
        <f t="shared" si="1"/>
        <v>1.0116999200952825</v>
      </c>
      <c r="F30" s="117">
        <f t="shared" si="1"/>
        <v>1</v>
      </c>
      <c r="H30" s="116" t="str">
        <f t="shared" si="2"/>
        <v>LR</v>
      </c>
      <c r="I30" s="117">
        <f t="shared" si="3"/>
        <v>1.0638745283993369</v>
      </c>
      <c r="J30" s="117">
        <f t="shared" si="3"/>
        <v>0.9782539303861556</v>
      </c>
      <c r="K30" s="117">
        <f t="shared" si="3"/>
        <v>0.96263981128243759</v>
      </c>
      <c r="L30" s="117">
        <f t="shared" si="3"/>
        <v>1.0302303139881903</v>
      </c>
      <c r="M30" s="117">
        <f t="shared" si="3"/>
        <v>1</v>
      </c>
    </row>
    <row r="31" spans="1:13" ht="15.6" x14ac:dyDescent="0.3">
      <c r="A31" s="116" t="str">
        <f t="shared" si="0"/>
        <v>FN</v>
      </c>
      <c r="B31" s="117">
        <f t="shared" si="1"/>
        <v>0.82713766381825404</v>
      </c>
      <c r="C31" s="117">
        <f t="shared" si="1"/>
        <v>0.95452565272174983</v>
      </c>
      <c r="D31" s="117">
        <f t="shared" si="1"/>
        <v>1.1572681836704668</v>
      </c>
      <c r="E31" s="117">
        <f t="shared" si="1"/>
        <v>1.0918259242548938</v>
      </c>
      <c r="F31" s="117">
        <f t="shared" si="1"/>
        <v>1</v>
      </c>
      <c r="H31" s="116" t="str">
        <f t="shared" si="2"/>
        <v>DLF</v>
      </c>
      <c r="I31" s="117">
        <f t="shared" si="3"/>
        <v>1.2937491973286679</v>
      </c>
      <c r="J31" s="117">
        <f t="shared" si="3"/>
        <v>1.0825662254385198</v>
      </c>
      <c r="K31" s="117">
        <f t="shared" si="3"/>
        <v>0.87510444572020107</v>
      </c>
      <c r="L31" s="117">
        <f t="shared" si="3"/>
        <v>0.53993882528715809</v>
      </c>
      <c r="M31" s="117">
        <f t="shared" si="3"/>
        <v>1</v>
      </c>
    </row>
    <row r="32" spans="1:13" ht="15.6" x14ac:dyDescent="0.3">
      <c r="A32" s="116" t="str">
        <f t="shared" si="0"/>
        <v>CPNT</v>
      </c>
      <c r="B32" s="117">
        <f t="shared" si="1"/>
        <v>1.7415684962198115</v>
      </c>
      <c r="C32" s="117">
        <f t="shared" si="1"/>
        <v>1.0791980729116513</v>
      </c>
      <c r="D32" s="117">
        <f t="shared" si="1"/>
        <v>0.5877673845866499</v>
      </c>
      <c r="E32" s="117">
        <f t="shared" si="1"/>
        <v>0.34751316172050639</v>
      </c>
      <c r="F32" s="117">
        <f t="shared" si="1"/>
        <v>1</v>
      </c>
      <c r="H32" s="116" t="str">
        <f t="shared" si="2"/>
        <v>DVD</v>
      </c>
      <c r="I32" s="117">
        <f t="shared" si="3"/>
        <v>0.9669986369050112</v>
      </c>
      <c r="J32" s="117">
        <f t="shared" si="3"/>
        <v>0.95741713784009319</v>
      </c>
      <c r="K32" s="117">
        <f t="shared" si="3"/>
        <v>1.0841506066911402</v>
      </c>
      <c r="L32" s="117">
        <f t="shared" si="3"/>
        <v>0.99069831946443976</v>
      </c>
      <c r="M32" s="117">
        <f t="shared" si="3"/>
        <v>1</v>
      </c>
    </row>
    <row r="33" spans="1:13" ht="16.2" thickBot="1" x14ac:dyDescent="0.35">
      <c r="H33" s="116" t="str">
        <f t="shared" si="2"/>
        <v>RN</v>
      </c>
      <c r="I33" s="117">
        <f t="shared" si="3"/>
        <v>1.2089861921010654</v>
      </c>
      <c r="J33" s="117">
        <f t="shared" si="3"/>
        <v>1.0990513068263892</v>
      </c>
      <c r="K33" s="117">
        <f t="shared" si="3"/>
        <v>0.88104968959625407</v>
      </c>
      <c r="L33" s="117">
        <f t="shared" si="3"/>
        <v>0.62797098297583198</v>
      </c>
      <c r="M33" s="117">
        <f t="shared" si="3"/>
        <v>1</v>
      </c>
    </row>
    <row r="34" spans="1:13" ht="16.8" thickTop="1" thickBot="1" x14ac:dyDescent="0.35">
      <c r="A34" s="115">
        <v>1999</v>
      </c>
      <c r="B34" s="144" t="s">
        <v>180</v>
      </c>
      <c r="C34" s="145"/>
      <c r="D34" s="145"/>
      <c r="E34" s="145"/>
      <c r="F34" s="145"/>
      <c r="H34" s="116" t="str">
        <f t="shared" si="2"/>
        <v>JAU</v>
      </c>
      <c r="I34" s="117">
        <f t="shared" si="3"/>
        <v>1.1969991408469962</v>
      </c>
      <c r="J34" s="117">
        <f t="shared" si="3"/>
        <v>1.1236215109421674</v>
      </c>
      <c r="K34" s="117">
        <f t="shared" si="3"/>
        <v>0.87066991358633128</v>
      </c>
      <c r="L34" s="117">
        <f t="shared" si="3"/>
        <v>0.60409969752873183</v>
      </c>
      <c r="M34" s="117">
        <f t="shared" si="3"/>
        <v>1</v>
      </c>
    </row>
    <row r="35" spans="1:13" ht="16.2" thickTop="1" x14ac:dyDescent="0.3">
      <c r="A35" s="116"/>
      <c r="B35" s="116" t="s">
        <v>181</v>
      </c>
      <c r="C35" s="116" t="s">
        <v>182</v>
      </c>
      <c r="D35" s="116" t="s">
        <v>183</v>
      </c>
      <c r="E35" s="116" t="s">
        <v>184</v>
      </c>
      <c r="F35" s="116" t="s">
        <v>185</v>
      </c>
      <c r="H35" s="116" t="str">
        <f t="shared" si="2"/>
        <v>PAT</v>
      </c>
      <c r="I35" s="117">
        <f t="shared" si="3"/>
        <v>1.2360692111394891</v>
      </c>
      <c r="J35" s="117">
        <f t="shared" si="3"/>
        <v>1.1154922812072521</v>
      </c>
      <c r="K35" s="117">
        <f t="shared" si="3"/>
        <v>0.85233158923988805</v>
      </c>
      <c r="L35" s="117">
        <f t="shared" si="3"/>
        <v>0.59872647931375067</v>
      </c>
      <c r="M35" s="117">
        <f t="shared" si="3"/>
        <v>1</v>
      </c>
    </row>
    <row r="36" spans="1:13" ht="15.6" x14ac:dyDescent="0.3">
      <c r="A36" s="5" t="s">
        <v>6</v>
      </c>
      <c r="B36" s="117">
        <v>4.7541387379169464E-2</v>
      </c>
      <c r="C36" s="117">
        <v>5.1474962383508682E-2</v>
      </c>
      <c r="D36" s="117">
        <v>5.6319691240787506E-2</v>
      </c>
      <c r="E36" s="117">
        <v>5.5519986897706985E-2</v>
      </c>
      <c r="F36" s="117">
        <v>5.2409794181585312E-2</v>
      </c>
      <c r="H36" s="116" t="str">
        <f>H19</f>
        <v>ANI</v>
      </c>
      <c r="I36" s="117">
        <f t="shared" si="3"/>
        <v>1.0360577269012567</v>
      </c>
      <c r="J36" s="117">
        <f t="shared" si="3"/>
        <v>1.0286122020465247</v>
      </c>
      <c r="K36" s="117">
        <f t="shared" si="3"/>
        <v>1.0320355486268435</v>
      </c>
      <c r="L36" s="117">
        <f t="shared" si="3"/>
        <v>0.79066117147868087</v>
      </c>
      <c r="M36" s="117">
        <f t="shared" si="3"/>
        <v>1</v>
      </c>
    </row>
    <row r="37" spans="1:13" ht="16.2" thickBot="1" x14ac:dyDescent="0.35">
      <c r="A37" s="5" t="s">
        <v>3</v>
      </c>
      <c r="B37" s="117">
        <v>5.8886162936687469E-2</v>
      </c>
      <c r="C37" s="117">
        <v>6.7628376185894012E-2</v>
      </c>
      <c r="D37" s="117">
        <v>8.3020851016044617E-2</v>
      </c>
      <c r="E37" s="117">
        <v>6.05747289955616E-2</v>
      </c>
      <c r="F37" s="117">
        <v>6.886012852191925E-2</v>
      </c>
    </row>
    <row r="38" spans="1:13" ht="16.8" thickTop="1" thickBot="1" x14ac:dyDescent="0.35">
      <c r="A38" s="5" t="s">
        <v>2</v>
      </c>
      <c r="B38" s="117">
        <v>0.20250891149044037</v>
      </c>
      <c r="C38" s="117">
        <v>0.22623865306377411</v>
      </c>
      <c r="D38" s="117">
        <v>0.22332440316677094</v>
      </c>
      <c r="E38" s="117">
        <v>0.22356608510017395</v>
      </c>
      <c r="F38" s="117">
        <v>0.21915586292743683</v>
      </c>
      <c r="H38" s="115">
        <v>2024</v>
      </c>
      <c r="I38" s="144" t="s">
        <v>180</v>
      </c>
      <c r="J38" s="145"/>
      <c r="K38" s="145"/>
      <c r="L38" s="145"/>
      <c r="M38" s="145"/>
    </row>
    <row r="39" spans="1:13" ht="16.2" thickTop="1" x14ac:dyDescent="0.3">
      <c r="A39" s="5" t="s">
        <v>187</v>
      </c>
      <c r="B39" s="117">
        <v>8.0415800213813782E-2</v>
      </c>
      <c r="C39" s="117">
        <v>8.8759101927280426E-2</v>
      </c>
      <c r="D39" s="117">
        <v>0.10800942778587341</v>
      </c>
      <c r="E39" s="117">
        <v>0.13081511855125427</v>
      </c>
      <c r="F39" s="117">
        <v>9.7773268818855286E-2</v>
      </c>
      <c r="H39" s="116"/>
      <c r="I39" s="116" t="s">
        <v>181</v>
      </c>
      <c r="J39" s="116" t="s">
        <v>182</v>
      </c>
      <c r="K39" s="116" t="s">
        <v>183</v>
      </c>
      <c r="L39" s="116" t="s">
        <v>184</v>
      </c>
      <c r="M39" s="116" t="s">
        <v>185</v>
      </c>
    </row>
    <row r="40" spans="1:13" ht="15.6" x14ac:dyDescent="0.3">
      <c r="A40" s="5" t="s">
        <v>32</v>
      </c>
      <c r="B40" s="117">
        <v>1.4465786516666412E-2</v>
      </c>
      <c r="C40" s="117">
        <v>1.5721907839179039E-2</v>
      </c>
      <c r="D40" s="117">
        <v>1.6656201332807541E-2</v>
      </c>
      <c r="E40" s="117">
        <v>1.429371815174818E-2</v>
      </c>
      <c r="F40" s="117">
        <v>1.5482047572731972E-2</v>
      </c>
      <c r="H40" s="116" t="s">
        <v>6</v>
      </c>
      <c r="I40" s="117">
        <v>5.7434611953794956E-3</v>
      </c>
      <c r="J40" s="117">
        <v>5.1691792905330658E-3</v>
      </c>
      <c r="K40" s="117">
        <v>4.0602912195026875E-3</v>
      </c>
      <c r="L40" s="117">
        <v>3.5465862601995468E-3</v>
      </c>
      <c r="M40" s="117">
        <v>4.7563179396092892E-3</v>
      </c>
    </row>
    <row r="41" spans="1:13" ht="15.6" x14ac:dyDescent="0.3">
      <c r="A41" s="5" t="s">
        <v>33</v>
      </c>
      <c r="B41" s="117">
        <v>8.8520228862762451E-2</v>
      </c>
      <c r="C41" s="117">
        <v>9.0902514755725861E-2</v>
      </c>
      <c r="D41" s="117">
        <v>9.0376876294612885E-2</v>
      </c>
      <c r="E41" s="117">
        <v>0.10593117773532867</v>
      </c>
      <c r="F41" s="117">
        <v>9.2179000377655029E-2</v>
      </c>
      <c r="H41" s="116" t="s">
        <v>165</v>
      </c>
      <c r="I41" s="117">
        <v>1.5371874906122684E-3</v>
      </c>
      <c r="J41" s="117">
        <v>1.3877149904146791E-3</v>
      </c>
      <c r="K41" s="117">
        <v>1.5115500427782536E-3</v>
      </c>
      <c r="L41" s="117">
        <v>2.0566112361848354E-3</v>
      </c>
      <c r="M41" s="117">
        <v>1.547805150039494E-3</v>
      </c>
    </row>
    <row r="42" spans="1:13" ht="15.6" x14ac:dyDescent="0.3">
      <c r="A42" s="5" t="s">
        <v>34</v>
      </c>
      <c r="B42" s="117">
        <v>0.13014747202396393</v>
      </c>
      <c r="C42" s="117">
        <v>0.12433379888534546</v>
      </c>
      <c r="D42" s="117">
        <v>0.11759667098522186</v>
      </c>
      <c r="E42" s="117">
        <v>0.1344456672668457</v>
      </c>
      <c r="F42" s="117">
        <v>0.12523174285888672</v>
      </c>
      <c r="H42" s="116" t="s">
        <v>3</v>
      </c>
      <c r="I42" s="117">
        <v>2.4795219302177429E-2</v>
      </c>
      <c r="J42" s="117">
        <v>2.5147562846541405E-2</v>
      </c>
      <c r="K42" s="117">
        <v>2.394978329539299E-2</v>
      </c>
      <c r="L42" s="117">
        <v>1.8826229497790337E-2</v>
      </c>
      <c r="M42" s="117">
        <v>2.3862827569246292E-2</v>
      </c>
    </row>
    <row r="43" spans="1:13" ht="15.6" x14ac:dyDescent="0.3">
      <c r="A43" s="5" t="s">
        <v>35</v>
      </c>
      <c r="B43" s="117">
        <v>0.13746660947799683</v>
      </c>
      <c r="C43" s="117">
        <v>0.13114403188228607</v>
      </c>
      <c r="D43" s="117">
        <v>0.12763725221157074</v>
      </c>
      <c r="E43" s="117">
        <v>0.12626132369041443</v>
      </c>
      <c r="F43" s="117">
        <v>0.13106904923915863</v>
      </c>
      <c r="H43" s="116" t="s">
        <v>43</v>
      </c>
      <c r="I43" s="117">
        <v>4.9675151705741882E-2</v>
      </c>
      <c r="J43" s="117">
        <v>6.8624392151832581E-2</v>
      </c>
      <c r="K43" s="117">
        <v>0.13788621127605438</v>
      </c>
      <c r="L43" s="117">
        <v>0.16589070856571198</v>
      </c>
      <c r="M43" s="117">
        <v>9.7624249756336212E-2</v>
      </c>
    </row>
    <row r="44" spans="1:13" ht="15.6" x14ac:dyDescent="0.3">
      <c r="A44" s="5" t="s">
        <v>0</v>
      </c>
      <c r="B44" s="117">
        <v>5.3322911262512207E-2</v>
      </c>
      <c r="C44" s="117">
        <v>5.7078361511230469E-2</v>
      </c>
      <c r="D44" s="117">
        <v>6.1748046427965164E-2</v>
      </c>
      <c r="E44" s="117">
        <v>5.7772934436798096E-2</v>
      </c>
      <c r="F44" s="117">
        <v>5.7558223605155945E-2</v>
      </c>
      <c r="H44" s="116" t="s">
        <v>2</v>
      </c>
      <c r="I44" s="117">
        <v>0.11417265236377716</v>
      </c>
      <c r="J44" s="117">
        <v>0.13315784931182861</v>
      </c>
      <c r="K44" s="117">
        <v>0.14041262865066528</v>
      </c>
      <c r="L44" s="117">
        <v>0.18745370209217072</v>
      </c>
      <c r="M44" s="117">
        <v>0.13841624557971954</v>
      </c>
    </row>
    <row r="45" spans="1:13" ht="15.6" x14ac:dyDescent="0.3">
      <c r="A45" s="5" t="s">
        <v>36</v>
      </c>
      <c r="B45" s="117">
        <v>2.5504035875201225E-2</v>
      </c>
      <c r="C45" s="117">
        <v>3.1428467482328415E-2</v>
      </c>
      <c r="D45" s="117">
        <v>3.9633240550756454E-2</v>
      </c>
      <c r="E45" s="117">
        <v>3.8253098726272583E-2</v>
      </c>
      <c r="F45" s="117">
        <v>3.3191490918397903E-2</v>
      </c>
      <c r="H45" s="116" t="s">
        <v>186</v>
      </c>
      <c r="I45" s="117">
        <v>4.2427346110343933E-2</v>
      </c>
      <c r="J45" s="117">
        <v>4.684680700302124E-2</v>
      </c>
      <c r="K45" s="117">
        <v>5.6593209505081177E-2</v>
      </c>
      <c r="L45" s="117">
        <v>8.8935613632202148E-2</v>
      </c>
      <c r="M45" s="117">
        <v>5.4405052214860916E-2</v>
      </c>
    </row>
    <row r="46" spans="1:13" ht="15.6" x14ac:dyDescent="0.3">
      <c r="A46" s="5" t="s">
        <v>5</v>
      </c>
      <c r="B46" s="117">
        <v>0.12171208113431931</v>
      </c>
      <c r="C46" s="117">
        <v>7.3695741593837738E-2</v>
      </c>
      <c r="D46" s="117">
        <v>3.7047993391752243E-2</v>
      </c>
      <c r="E46" s="117">
        <v>2.0721232518553734E-2</v>
      </c>
      <c r="F46" s="117">
        <v>6.8160824477672577E-2</v>
      </c>
      <c r="H46" s="116" t="s">
        <v>166</v>
      </c>
      <c r="I46" s="117">
        <v>0.13158422708511353</v>
      </c>
      <c r="J46" s="117">
        <v>0.14887836575508118</v>
      </c>
      <c r="K46" s="117">
        <v>0.14882369339466095</v>
      </c>
      <c r="L46" s="117">
        <v>0.15009507536888123</v>
      </c>
      <c r="M46" s="117">
        <v>0.14517699182033539</v>
      </c>
    </row>
    <row r="47" spans="1:13" ht="16.2" thickBot="1" x14ac:dyDescent="0.35">
      <c r="A47" s="118"/>
      <c r="B47" s="118"/>
      <c r="C47" s="118"/>
      <c r="D47" s="118"/>
      <c r="E47" s="118"/>
      <c r="F47" s="118"/>
      <c r="H47" s="116" t="s">
        <v>48</v>
      </c>
      <c r="I47" s="117">
        <v>7.1826286613941193E-2</v>
      </c>
      <c r="J47" s="117">
        <v>6.8791672587394714E-2</v>
      </c>
      <c r="K47" s="117">
        <v>7.5116395950317383E-2</v>
      </c>
      <c r="L47" s="117">
        <v>7.8189365565776825E-2</v>
      </c>
      <c r="M47" s="117">
        <v>7.2571195662021637E-2</v>
      </c>
    </row>
    <row r="48" spans="1:13" ht="16.8" thickTop="1" thickBot="1" x14ac:dyDescent="0.35">
      <c r="A48" s="103"/>
      <c r="B48" s="144" t="s">
        <v>180</v>
      </c>
      <c r="C48" s="145"/>
      <c r="D48" s="145"/>
      <c r="E48" s="145"/>
      <c r="F48" s="145"/>
      <c r="H48" s="116" t="s">
        <v>35</v>
      </c>
      <c r="I48" s="117">
        <v>1.073213666677475E-2</v>
      </c>
      <c r="J48" s="117">
        <v>9.875747375190258E-3</v>
      </c>
      <c r="K48" s="117">
        <v>9.888908825814724E-3</v>
      </c>
      <c r="L48" s="117">
        <v>9.011557325720787E-3</v>
      </c>
      <c r="M48" s="117">
        <v>9.9525684490799904E-3</v>
      </c>
    </row>
    <row r="49" spans="1:13" ht="16.2" thickTop="1" x14ac:dyDescent="0.3">
      <c r="A49" s="116"/>
      <c r="B49" s="116" t="s">
        <v>181</v>
      </c>
      <c r="C49" s="116" t="s">
        <v>182</v>
      </c>
      <c r="D49" s="116" t="s">
        <v>183</v>
      </c>
      <c r="E49" s="116" t="s">
        <v>184</v>
      </c>
      <c r="F49" s="116" t="s">
        <v>185</v>
      </c>
      <c r="H49" s="116" t="s">
        <v>51</v>
      </c>
      <c r="I49" s="117">
        <v>0.3909294605255127</v>
      </c>
      <c r="J49" s="117">
        <v>0.35541817545890808</v>
      </c>
      <c r="K49" s="117">
        <v>0.27522298693656921</v>
      </c>
      <c r="L49" s="117">
        <v>0.18105593323707581</v>
      </c>
      <c r="M49" s="117">
        <v>0.31645449995994568</v>
      </c>
    </row>
    <row r="50" spans="1:13" ht="15.6" x14ac:dyDescent="0.3">
      <c r="A50" s="116" t="str">
        <f t="shared" ref="A50:A60" si="4">A36</f>
        <v>LO</v>
      </c>
      <c r="B50" s="117">
        <f t="shared" ref="B50:F60" si="5">B36/$F36</f>
        <v>0.9071088356968513</v>
      </c>
      <c r="C50" s="117">
        <f t="shared" si="5"/>
        <v>0.9821630324508106</v>
      </c>
      <c r="D50" s="117">
        <f t="shared" si="5"/>
        <v>1.0746024120158819</v>
      </c>
      <c r="E50" s="117">
        <f t="shared" si="5"/>
        <v>1.0593437307795128</v>
      </c>
      <c r="F50" s="117">
        <f t="shared" si="5"/>
        <v>1</v>
      </c>
      <c r="H50" s="116" t="s">
        <v>167</v>
      </c>
      <c r="I50" s="117">
        <v>5.3203333169221878E-2</v>
      </c>
      <c r="J50" s="117">
        <v>5.374615266919136E-2</v>
      </c>
      <c r="K50" s="117">
        <v>5.5680949240922928E-2</v>
      </c>
      <c r="L50" s="117">
        <v>5.4901141673326492E-2</v>
      </c>
      <c r="M50" s="117">
        <v>5.434051901102066E-2</v>
      </c>
    </row>
    <row r="51" spans="1:13" ht="15.6" x14ac:dyDescent="0.3">
      <c r="A51" s="116" t="str">
        <f t="shared" si="4"/>
        <v>PCF</v>
      </c>
      <c r="B51" s="117">
        <f t="shared" si="5"/>
        <v>0.85515615786199251</v>
      </c>
      <c r="C51" s="117">
        <f t="shared" si="5"/>
        <v>0.98211225621466636</v>
      </c>
      <c r="D51" s="117">
        <f t="shared" si="5"/>
        <v>1.2056447293678487</v>
      </c>
      <c r="E51" s="117">
        <f t="shared" si="5"/>
        <v>0.87967783818875278</v>
      </c>
      <c r="F51" s="117">
        <f t="shared" si="5"/>
        <v>1</v>
      </c>
      <c r="H51" s="116" t="s">
        <v>168</v>
      </c>
      <c r="I51" s="117">
        <v>4.7040589153766632E-2</v>
      </c>
      <c r="J51" s="117">
        <v>2.5178544223308563E-2</v>
      </c>
      <c r="K51" s="117">
        <v>1.2322086840867996E-2</v>
      </c>
      <c r="L51" s="117">
        <v>7.134060375392437E-3</v>
      </c>
      <c r="M51" s="117">
        <v>2.3882191628217697E-2</v>
      </c>
    </row>
    <row r="52" spans="1:13" ht="15.6" x14ac:dyDescent="0.3">
      <c r="A52" s="116" t="str">
        <f t="shared" si="4"/>
        <v>PS</v>
      </c>
      <c r="B52" s="117">
        <f t="shared" si="5"/>
        <v>0.92404058365297614</v>
      </c>
      <c r="C52" s="117">
        <f t="shared" si="5"/>
        <v>1.0323185062983344</v>
      </c>
      <c r="D52" s="117">
        <f t="shared" si="5"/>
        <v>1.0190208930924851</v>
      </c>
      <c r="E52" s="117">
        <f t="shared" si="5"/>
        <v>1.0201236787089623</v>
      </c>
      <c r="F52" s="117">
        <f t="shared" si="5"/>
        <v>1</v>
      </c>
      <c r="H52" s="116" t="s">
        <v>164</v>
      </c>
      <c r="I52" s="117">
        <v>2.1341118961572647E-2</v>
      </c>
      <c r="J52" s="117">
        <v>2.1369749680161476E-2</v>
      </c>
      <c r="K52" s="117">
        <v>2.0017590373754501E-2</v>
      </c>
      <c r="L52" s="117">
        <v>1.6210000962018967E-2</v>
      </c>
      <c r="M52" s="117">
        <v>2.0270770415663719E-2</v>
      </c>
    </row>
    <row r="53" spans="1:13" ht="15.6" x14ac:dyDescent="0.3">
      <c r="A53" s="116" t="str">
        <f t="shared" si="4"/>
        <v>Verts</v>
      </c>
      <c r="B53" s="117">
        <f t="shared" si="5"/>
        <v>0.82247224814381814</v>
      </c>
      <c r="C53" s="117">
        <f t="shared" si="5"/>
        <v>0.9078054052966622</v>
      </c>
      <c r="D53" s="117">
        <f t="shared" si="5"/>
        <v>1.104692817276905</v>
      </c>
      <c r="E53" s="117">
        <f t="shared" si="5"/>
        <v>1.3379435926768051</v>
      </c>
      <c r="F53" s="117">
        <f t="shared" si="5"/>
        <v>1</v>
      </c>
      <c r="H53" s="116" t="s">
        <v>1</v>
      </c>
      <c r="I53" s="117">
        <v>2.2520413622260094E-2</v>
      </c>
      <c r="J53" s="117">
        <v>2.3532606661319733E-2</v>
      </c>
      <c r="K53" s="117">
        <v>2.5390582159161568E-2</v>
      </c>
      <c r="L53" s="117">
        <v>2.6082344353199005E-2</v>
      </c>
      <c r="M53" s="117">
        <v>2.4190230295062065E-2</v>
      </c>
    </row>
    <row r="54" spans="1:13" ht="16.2" thickBot="1" x14ac:dyDescent="0.35">
      <c r="A54" s="116" t="str">
        <f t="shared" si="4"/>
        <v>MEI</v>
      </c>
      <c r="B54" s="117">
        <f t="shared" si="5"/>
        <v>0.93435874348716852</v>
      </c>
      <c r="C54" s="117">
        <f t="shared" si="5"/>
        <v>1.0154927999878727</v>
      </c>
      <c r="D54" s="117">
        <f t="shared" si="5"/>
        <v>1.0758396946243447</v>
      </c>
      <c r="E54" s="117">
        <f t="shared" si="5"/>
        <v>0.92324468611782606</v>
      </c>
      <c r="F54" s="117">
        <f t="shared" si="5"/>
        <v>1</v>
      </c>
      <c r="H54" s="118"/>
      <c r="I54" s="118"/>
      <c r="J54" s="118"/>
      <c r="K54" s="118"/>
      <c r="L54" s="118"/>
      <c r="M54" s="118"/>
    </row>
    <row r="55" spans="1:13" ht="16.8" thickTop="1" thickBot="1" x14ac:dyDescent="0.35">
      <c r="A55" s="116" t="str">
        <f t="shared" si="4"/>
        <v>UDF</v>
      </c>
      <c r="B55" s="117">
        <f t="shared" si="5"/>
        <v>0.96030797144791458</v>
      </c>
      <c r="C55" s="117">
        <f t="shared" si="5"/>
        <v>0.98615209953786176</v>
      </c>
      <c r="D55" s="117">
        <f t="shared" si="5"/>
        <v>0.98044973284957648</v>
      </c>
      <c r="E55" s="117">
        <f t="shared" si="5"/>
        <v>1.1491899163728325</v>
      </c>
      <c r="F55" s="117">
        <f t="shared" si="5"/>
        <v>1</v>
      </c>
      <c r="H55" s="103"/>
      <c r="I55" s="144" t="s">
        <v>180</v>
      </c>
      <c r="J55" s="145"/>
      <c r="K55" s="145"/>
      <c r="L55" s="145"/>
      <c r="M55" s="145"/>
    </row>
    <row r="56" spans="1:13" ht="16.2" thickTop="1" x14ac:dyDescent="0.3">
      <c r="A56" s="116" t="str">
        <f t="shared" si="4"/>
        <v>RPR</v>
      </c>
      <c r="B56" s="117">
        <f t="shared" si="5"/>
        <v>1.0392530603891406</v>
      </c>
      <c r="C56" s="117">
        <f t="shared" si="5"/>
        <v>0.99282974146137148</v>
      </c>
      <c r="D56" s="117">
        <f t="shared" si="5"/>
        <v>0.939032455355443</v>
      </c>
      <c r="E56" s="117">
        <f t="shared" si="5"/>
        <v>1.0735749914328143</v>
      </c>
      <c r="F56" s="117">
        <f t="shared" si="5"/>
        <v>1</v>
      </c>
      <c r="H56" s="116"/>
      <c r="I56" s="116" t="s">
        <v>181</v>
      </c>
      <c r="J56" s="116" t="s">
        <v>182</v>
      </c>
      <c r="K56" s="116" t="s">
        <v>183</v>
      </c>
      <c r="L56" s="116" t="s">
        <v>184</v>
      </c>
      <c r="M56" s="116" t="s">
        <v>185</v>
      </c>
    </row>
    <row r="57" spans="1:13" ht="15.6" x14ac:dyDescent="0.3">
      <c r="A57" s="116" t="str">
        <f t="shared" si="4"/>
        <v>DVD</v>
      </c>
      <c r="B57" s="117">
        <f t="shared" si="5"/>
        <v>1.0488106099493002</v>
      </c>
      <c r="C57" s="117">
        <f t="shared" si="5"/>
        <v>1.0005720850464905</v>
      </c>
      <c r="D57" s="117">
        <f t="shared" si="5"/>
        <v>0.97381687707731845</v>
      </c>
      <c r="E57" s="117">
        <f t="shared" si="5"/>
        <v>0.96331913921209833</v>
      </c>
      <c r="F57" s="117">
        <f t="shared" si="5"/>
        <v>1</v>
      </c>
      <c r="H57" s="116" t="str">
        <f t="shared" ref="H57:H70" si="6">H40</f>
        <v>LO</v>
      </c>
      <c r="I57" s="117">
        <f t="shared" ref="I57:M70" si="7">I40/$M40</f>
        <v>1.2075435806234804</v>
      </c>
      <c r="J57" s="117">
        <f t="shared" si="7"/>
        <v>1.0868027234860778</v>
      </c>
      <c r="K57" s="117">
        <f t="shared" si="7"/>
        <v>0.85366270107591313</v>
      </c>
      <c r="L57" s="117">
        <f t="shared" si="7"/>
        <v>0.74565794491250592</v>
      </c>
      <c r="M57" s="117">
        <f t="shared" si="7"/>
        <v>1</v>
      </c>
    </row>
    <row r="58" spans="1:13" ht="15.6" x14ac:dyDescent="0.3">
      <c r="A58" s="116" t="str">
        <f t="shared" si="4"/>
        <v>FN</v>
      </c>
      <c r="B58" s="117">
        <f t="shared" si="5"/>
        <v>0.9264169031397218</v>
      </c>
      <c r="C58" s="117">
        <f t="shared" si="5"/>
        <v>0.99166301418165226</v>
      </c>
      <c r="D58" s="117">
        <f t="shared" si="5"/>
        <v>1.0727927750437716</v>
      </c>
      <c r="E58" s="117">
        <f t="shared" si="5"/>
        <v>1.0037303241516806</v>
      </c>
      <c r="F58" s="117">
        <f t="shared" si="5"/>
        <v>1</v>
      </c>
      <c r="H58" s="116" t="str">
        <f t="shared" si="6"/>
        <v>NPA</v>
      </c>
      <c r="I58" s="117">
        <f t="shared" si="7"/>
        <v>0.99314018342234189</v>
      </c>
      <c r="J58" s="117">
        <f t="shared" si="7"/>
        <v>0.89656956521902642</v>
      </c>
      <c r="K58" s="117">
        <f t="shared" si="7"/>
        <v>0.9765764397021709</v>
      </c>
      <c r="L58" s="117">
        <f t="shared" si="7"/>
        <v>1.3287274797685993</v>
      </c>
      <c r="M58" s="117">
        <f t="shared" si="7"/>
        <v>1</v>
      </c>
    </row>
    <row r="59" spans="1:13" ht="15.6" x14ac:dyDescent="0.3">
      <c r="A59" s="116" t="str">
        <f t="shared" si="4"/>
        <v>MNR</v>
      </c>
      <c r="B59" s="117">
        <f t="shared" si="5"/>
        <v>0.76839078840729158</v>
      </c>
      <c r="C59" s="117">
        <f t="shared" si="5"/>
        <v>0.9468832707634639</v>
      </c>
      <c r="D59" s="117">
        <f t="shared" si="5"/>
        <v>1.1940783452058767</v>
      </c>
      <c r="E59" s="117">
        <f t="shared" si="5"/>
        <v>1.1524971511619881</v>
      </c>
      <c r="F59" s="117">
        <f t="shared" si="5"/>
        <v>1</v>
      </c>
      <c r="H59" s="116" t="str">
        <f t="shared" si="6"/>
        <v>PCF</v>
      </c>
      <c r="I59" s="117">
        <f t="shared" si="7"/>
        <v>1.0390729778449548</v>
      </c>
      <c r="J59" s="117">
        <f t="shared" si="7"/>
        <v>1.0538383506131872</v>
      </c>
      <c r="K59" s="117">
        <f t="shared" si="7"/>
        <v>1.0036439825035137</v>
      </c>
      <c r="L59" s="117">
        <f t="shared" si="7"/>
        <v>0.788935403533361</v>
      </c>
      <c r="M59" s="117">
        <f t="shared" si="7"/>
        <v>1</v>
      </c>
    </row>
    <row r="60" spans="1:13" ht="15.6" x14ac:dyDescent="0.3">
      <c r="A60" s="116" t="str">
        <f t="shared" si="4"/>
        <v>CPNT</v>
      </c>
      <c r="B60" s="117">
        <f t="shared" si="5"/>
        <v>1.7856603418021815</v>
      </c>
      <c r="C60" s="117">
        <f t="shared" si="5"/>
        <v>1.0812037876387224</v>
      </c>
      <c r="D60" s="117">
        <f t="shared" si="5"/>
        <v>0.54353792923804856</v>
      </c>
      <c r="E60" s="117">
        <f t="shared" si="5"/>
        <v>0.30400501574539174</v>
      </c>
      <c r="F60" s="117">
        <f t="shared" si="5"/>
        <v>1</v>
      </c>
      <c r="H60" s="116" t="str">
        <f t="shared" si="6"/>
        <v>LFI</v>
      </c>
      <c r="I60" s="117">
        <f t="shared" si="7"/>
        <v>0.50884029152313937</v>
      </c>
      <c r="J60" s="117">
        <f t="shared" si="7"/>
        <v>0.70294411811731827</v>
      </c>
      <c r="K60" s="117">
        <f t="shared" si="7"/>
        <v>1.4124176279992873</v>
      </c>
      <c r="L60" s="117">
        <f t="shared" si="7"/>
        <v>1.6992776792627284</v>
      </c>
      <c r="M60" s="117">
        <f t="shared" si="7"/>
        <v>1</v>
      </c>
    </row>
    <row r="61" spans="1:13" ht="16.2" thickBot="1" x14ac:dyDescent="0.35">
      <c r="H61" s="116" t="str">
        <f t="shared" si="6"/>
        <v>PS</v>
      </c>
      <c r="I61" s="117">
        <f t="shared" si="7"/>
        <v>0.82485008812076532</v>
      </c>
      <c r="J61" s="117">
        <f t="shared" si="7"/>
        <v>0.96201026659936095</v>
      </c>
      <c r="K61" s="117">
        <f t="shared" si="7"/>
        <v>1.0144230401755547</v>
      </c>
      <c r="L61" s="117">
        <f t="shared" si="7"/>
        <v>1.3542752970005136</v>
      </c>
      <c r="M61" s="117">
        <f t="shared" si="7"/>
        <v>1</v>
      </c>
    </row>
    <row r="62" spans="1:13" ht="16.8" thickTop="1" thickBot="1" x14ac:dyDescent="0.35">
      <c r="A62" s="115">
        <v>2004</v>
      </c>
      <c r="B62" s="144" t="s">
        <v>180</v>
      </c>
      <c r="C62" s="145"/>
      <c r="D62" s="145"/>
      <c r="E62" s="145"/>
      <c r="F62" s="145"/>
      <c r="H62" s="116" t="str">
        <f t="shared" si="6"/>
        <v>EELV</v>
      </c>
      <c r="I62" s="117">
        <f t="shared" si="7"/>
        <v>0.7798420253837155</v>
      </c>
      <c r="J62" s="117">
        <f t="shared" si="7"/>
        <v>0.86107457112640884</v>
      </c>
      <c r="K62" s="117">
        <f t="shared" si="7"/>
        <v>1.0402197443277623</v>
      </c>
      <c r="L62" s="117">
        <f t="shared" si="7"/>
        <v>1.6346940221832762</v>
      </c>
      <c r="M62" s="117">
        <f t="shared" si="7"/>
        <v>1</v>
      </c>
    </row>
    <row r="63" spans="1:13" ht="16.2" thickTop="1" x14ac:dyDescent="0.3">
      <c r="A63" s="116"/>
      <c r="B63" s="116" t="s">
        <v>181</v>
      </c>
      <c r="C63" s="116" t="s">
        <v>182</v>
      </c>
      <c r="D63" s="116" t="s">
        <v>183</v>
      </c>
      <c r="E63" s="116" t="s">
        <v>184</v>
      </c>
      <c r="F63" s="116" t="s">
        <v>185</v>
      </c>
      <c r="H63" s="116" t="str">
        <f t="shared" si="6"/>
        <v>ENS</v>
      </c>
      <c r="I63" s="117">
        <f t="shared" si="7"/>
        <v>0.90637108149999646</v>
      </c>
      <c r="J63" s="117">
        <f t="shared" si="7"/>
        <v>1.0254955960192813</v>
      </c>
      <c r="K63" s="117">
        <f t="shared" si="7"/>
        <v>1.0251190049373564</v>
      </c>
      <c r="L63" s="117">
        <f t="shared" si="7"/>
        <v>1.033876466834581</v>
      </c>
      <c r="M63" s="117">
        <f t="shared" si="7"/>
        <v>1</v>
      </c>
    </row>
    <row r="64" spans="1:13" ht="15.6" x14ac:dyDescent="0.3">
      <c r="A64" s="5" t="s">
        <v>6</v>
      </c>
      <c r="B64" s="117">
        <v>3.436153382062912E-2</v>
      </c>
      <c r="C64" s="117">
        <v>3.4289330244064331E-2</v>
      </c>
      <c r="D64" s="117">
        <v>3.3706851303577423E-2</v>
      </c>
      <c r="E64" s="117">
        <v>3.0619984492659569E-2</v>
      </c>
      <c r="F64" s="117">
        <v>3.3632978796958923E-2</v>
      </c>
      <c r="H64" s="116" t="str">
        <f t="shared" si="6"/>
        <v>LR</v>
      </c>
      <c r="I64" s="117">
        <f t="shared" si="7"/>
        <v>0.98973547230019976</v>
      </c>
      <c r="J64" s="117">
        <f t="shared" si="7"/>
        <v>0.94791979048782793</v>
      </c>
      <c r="K64" s="117">
        <f t="shared" si="7"/>
        <v>1.0350717700745795</v>
      </c>
      <c r="L64" s="117">
        <f t="shared" si="7"/>
        <v>1.0774159754776553</v>
      </c>
      <c r="M64" s="117">
        <f t="shared" si="7"/>
        <v>1</v>
      </c>
    </row>
    <row r="65" spans="1:13" ht="15.6" x14ac:dyDescent="0.3">
      <c r="A65" s="5" t="s">
        <v>3</v>
      </c>
      <c r="B65" s="117">
        <v>4.6262007206678391E-2</v>
      </c>
      <c r="C65" s="117">
        <v>5.3611859679222107E-2</v>
      </c>
      <c r="D65" s="117">
        <v>6.4563557505607605E-2</v>
      </c>
      <c r="E65" s="117">
        <v>4.734642431139946E-2</v>
      </c>
      <c r="F65" s="117">
        <v>5.4079059511423111E-2</v>
      </c>
      <c r="H65" s="116" t="str">
        <f t="shared" si="6"/>
        <v>DVD</v>
      </c>
      <c r="I65" s="117">
        <f t="shared" si="7"/>
        <v>1.0783283452591399</v>
      </c>
      <c r="J65" s="117">
        <f t="shared" si="7"/>
        <v>0.99228128153222261</v>
      </c>
      <c r="K65" s="117">
        <f t="shared" si="7"/>
        <v>0.99360369902593826</v>
      </c>
      <c r="L65" s="117">
        <f t="shared" si="7"/>
        <v>0.90545042436295031</v>
      </c>
      <c r="M65" s="117">
        <f t="shared" si="7"/>
        <v>1</v>
      </c>
    </row>
    <row r="66" spans="1:13" ht="15.6" x14ac:dyDescent="0.3">
      <c r="A66" s="5" t="s">
        <v>2</v>
      </c>
      <c r="B66" s="117">
        <v>0.27551743388175964</v>
      </c>
      <c r="C66" s="117">
        <v>0.29985824227333069</v>
      </c>
      <c r="D66" s="117">
        <v>0.28888708353042603</v>
      </c>
      <c r="E66" s="117">
        <v>0.30666795372962952</v>
      </c>
      <c r="F66" s="117">
        <v>0.29183867573738098</v>
      </c>
      <c r="H66" s="116" t="str">
        <f t="shared" si="6"/>
        <v>RN</v>
      </c>
      <c r="I66" s="117">
        <f t="shared" si="7"/>
        <v>1.2353417650088512</v>
      </c>
      <c r="J66" s="117">
        <f t="shared" si="7"/>
        <v>1.1231256800073759</v>
      </c>
      <c r="K66" s="117">
        <f t="shared" si="7"/>
        <v>0.86970792632560057</v>
      </c>
      <c r="L66" s="117">
        <f t="shared" si="7"/>
        <v>0.57213891178666265</v>
      </c>
      <c r="M66" s="117">
        <f t="shared" si="7"/>
        <v>1</v>
      </c>
    </row>
    <row r="67" spans="1:13" ht="15.6" x14ac:dyDescent="0.3">
      <c r="A67" s="5" t="s">
        <v>187</v>
      </c>
      <c r="B67" s="117">
        <v>6.560419499874115E-2</v>
      </c>
      <c r="C67" s="117">
        <v>6.7776136100292206E-2</v>
      </c>
      <c r="D67" s="117">
        <v>7.5224332511425018E-2</v>
      </c>
      <c r="E67" s="117">
        <v>0.10004817694425583</v>
      </c>
      <c r="F67" s="117">
        <v>7.3838047683238983E-2</v>
      </c>
      <c r="H67" s="116" t="str">
        <f t="shared" si="6"/>
        <v>REC</v>
      </c>
      <c r="I67" s="117">
        <f t="shared" si="7"/>
        <v>0.97907296686717049</v>
      </c>
      <c r="J67" s="117">
        <f t="shared" si="7"/>
        <v>0.98906218871945706</v>
      </c>
      <c r="K67" s="117">
        <f t="shared" si="7"/>
        <v>1.024667232744509</v>
      </c>
      <c r="L67" s="117">
        <f t="shared" si="7"/>
        <v>1.0103168440881496</v>
      </c>
      <c r="M67" s="117">
        <f t="shared" si="7"/>
        <v>1</v>
      </c>
    </row>
    <row r="68" spans="1:13" ht="15.6" x14ac:dyDescent="0.3">
      <c r="A68" s="5" t="s">
        <v>33</v>
      </c>
      <c r="B68" s="117">
        <v>0.11830668151378632</v>
      </c>
      <c r="C68" s="117">
        <v>0.11749909818172455</v>
      </c>
      <c r="D68" s="117">
        <v>0.12089373171329498</v>
      </c>
      <c r="E68" s="117">
        <v>0.12573090195655823</v>
      </c>
      <c r="F68" s="117">
        <v>0.11979643255472183</v>
      </c>
      <c r="H68" s="116" t="str">
        <f t="shared" si="6"/>
        <v>AR</v>
      </c>
      <c r="I68" s="117">
        <f t="shared" si="7"/>
        <v>1.9696931456737172</v>
      </c>
      <c r="J68" s="117">
        <f t="shared" si="7"/>
        <v>1.0542811403271373</v>
      </c>
      <c r="K68" s="117">
        <f t="shared" si="7"/>
        <v>0.51595293399743902</v>
      </c>
      <c r="L68" s="117">
        <f t="shared" si="7"/>
        <v>0.29871883143937594</v>
      </c>
      <c r="M68" s="117">
        <f t="shared" si="7"/>
        <v>1</v>
      </c>
    </row>
    <row r="69" spans="1:13" ht="15.6" x14ac:dyDescent="0.3">
      <c r="A69" s="5" t="s">
        <v>37</v>
      </c>
      <c r="B69" s="117">
        <v>0.16784574091434479</v>
      </c>
      <c r="C69" s="117">
        <v>0.15948504209518433</v>
      </c>
      <c r="D69" s="117">
        <v>0.15854284167289734</v>
      </c>
      <c r="E69" s="117">
        <v>0.18139420449733734</v>
      </c>
      <c r="F69" s="117">
        <v>0.16426606476306915</v>
      </c>
      <c r="H69" s="116" t="str">
        <f t="shared" si="6"/>
        <v>ANI</v>
      </c>
      <c r="I69" s="117">
        <f t="shared" si="7"/>
        <v>1.0528025587563186</v>
      </c>
      <c r="J69" s="117">
        <f t="shared" si="7"/>
        <v>1.0542149726903596</v>
      </c>
      <c r="K69" s="117">
        <f t="shared" si="7"/>
        <v>0.98751009277311042</v>
      </c>
      <c r="L69" s="117">
        <f t="shared" si="7"/>
        <v>0.79967364977372069</v>
      </c>
      <c r="M69" s="117">
        <f t="shared" si="7"/>
        <v>1</v>
      </c>
    </row>
    <row r="70" spans="1:13" ht="15.6" x14ac:dyDescent="0.3">
      <c r="A70" s="5" t="s">
        <v>35</v>
      </c>
      <c r="B70" s="117">
        <v>0.10017326474189758</v>
      </c>
      <c r="C70" s="117">
        <v>9.9220454692840576E-2</v>
      </c>
      <c r="D70" s="117">
        <v>8.5746981203556061E-2</v>
      </c>
      <c r="E70" s="117">
        <v>7.6827280223369598E-2</v>
      </c>
      <c r="F70" s="117">
        <v>9.2527285218238831E-2</v>
      </c>
      <c r="H70" s="116" t="str">
        <f t="shared" si="6"/>
        <v>DIV</v>
      </c>
      <c r="I70" s="117">
        <f t="shared" si="7"/>
        <v>0.93097144374260754</v>
      </c>
      <c r="J70" s="117">
        <f t="shared" si="7"/>
        <v>0.97281449470629588</v>
      </c>
      <c r="K70" s="117">
        <f t="shared" si="7"/>
        <v>1.0496213491751887</v>
      </c>
      <c r="L70" s="117">
        <f t="shared" si="7"/>
        <v>1.0782181085114835</v>
      </c>
      <c r="M70" s="117">
        <f t="shared" si="7"/>
        <v>1</v>
      </c>
    </row>
    <row r="71" spans="1:13" ht="15.6" x14ac:dyDescent="0.3">
      <c r="A71" s="5" t="s">
        <v>0</v>
      </c>
      <c r="B71" s="117">
        <v>0.10742820054292679</v>
      </c>
      <c r="C71" s="117">
        <v>0.10139390081167221</v>
      </c>
      <c r="D71" s="117">
        <v>0.10116523504257202</v>
      </c>
      <c r="E71" s="117">
        <v>8.0063305795192719E-2</v>
      </c>
      <c r="F71" s="117">
        <v>9.9823594093322754E-2</v>
      </c>
    </row>
    <row r="72" spans="1:13" ht="15.6" x14ac:dyDescent="0.3">
      <c r="A72" s="5" t="s">
        <v>5</v>
      </c>
      <c r="B72" s="117">
        <v>3.3113528043031693E-2</v>
      </c>
      <c r="C72" s="117">
        <v>1.9268954172730446E-2</v>
      </c>
      <c r="D72" s="117">
        <v>8.3740837872028351E-3</v>
      </c>
      <c r="E72" s="117">
        <v>4.4304933398962021E-3</v>
      </c>
      <c r="F72" s="117">
        <v>1.7454518005251884E-2</v>
      </c>
    </row>
    <row r="73" spans="1:13" ht="15.6" x14ac:dyDescent="0.3">
      <c r="A73" s="5" t="s">
        <v>38</v>
      </c>
      <c r="B73" s="117">
        <v>1.1933373752981424E-3</v>
      </c>
      <c r="C73" s="117">
        <v>9.8940497264266014E-4</v>
      </c>
      <c r="D73" s="117">
        <v>8.5989932995289564E-4</v>
      </c>
      <c r="E73" s="117">
        <v>4.9535103607922792E-4</v>
      </c>
      <c r="F73" s="117">
        <v>9.3326868955045938E-4</v>
      </c>
    </row>
    <row r="74" spans="1:13" ht="15.6" x14ac:dyDescent="0.3">
      <c r="A74" s="5" t="s">
        <v>1</v>
      </c>
      <c r="B74" s="117">
        <v>5.0194073468446732E-2</v>
      </c>
      <c r="C74" s="117">
        <v>4.6607557684183121E-2</v>
      </c>
      <c r="D74" s="117">
        <v>6.2035411596298218E-2</v>
      </c>
      <c r="E74" s="117">
        <v>4.6375922858715057E-2</v>
      </c>
      <c r="F74" s="117">
        <v>5.1810078322887421E-2</v>
      </c>
    </row>
    <row r="75" spans="1:13" ht="15" thickBot="1" x14ac:dyDescent="0.35">
      <c r="A75" s="118"/>
      <c r="B75" s="118"/>
      <c r="C75" s="118"/>
      <c r="D75" s="118"/>
      <c r="E75" s="118"/>
      <c r="F75" s="118"/>
    </row>
    <row r="76" spans="1:13" ht="16.8" thickTop="1" thickBot="1" x14ac:dyDescent="0.35">
      <c r="A76" s="103"/>
      <c r="B76" s="144" t="s">
        <v>180</v>
      </c>
      <c r="C76" s="145"/>
      <c r="D76" s="145"/>
      <c r="E76" s="145"/>
      <c r="F76" s="145"/>
    </row>
    <row r="77" spans="1:13" ht="16.2" thickTop="1" x14ac:dyDescent="0.3">
      <c r="A77" s="116"/>
      <c r="B77" s="116" t="s">
        <v>181</v>
      </c>
      <c r="C77" s="116" t="s">
        <v>182</v>
      </c>
      <c r="D77" s="116" t="s">
        <v>183</v>
      </c>
      <c r="E77" s="116" t="s">
        <v>184</v>
      </c>
      <c r="F77" s="116" t="s">
        <v>185</v>
      </c>
    </row>
    <row r="78" spans="1:13" ht="15.6" x14ac:dyDescent="0.3">
      <c r="A78" s="116" t="str">
        <f t="shared" ref="A78:A88" si="8">A64</f>
        <v>LO</v>
      </c>
      <c r="B78" s="117">
        <f t="shared" ref="B78:F88" si="9">B64/$F64</f>
        <v>1.0216619237941562</v>
      </c>
      <c r="C78" s="117">
        <f t="shared" si="9"/>
        <v>1.0195151149432162</v>
      </c>
      <c r="D78" s="117">
        <f t="shared" si="9"/>
        <v>1.0021964306838376</v>
      </c>
      <c r="E78" s="117">
        <f t="shared" si="9"/>
        <v>0.91041547873327866</v>
      </c>
      <c r="F78" s="117">
        <f t="shared" si="9"/>
        <v>1</v>
      </c>
    </row>
    <row r="79" spans="1:13" ht="15.6" x14ac:dyDescent="0.3">
      <c r="A79" s="116" t="str">
        <f t="shared" si="8"/>
        <v>PCF</v>
      </c>
      <c r="B79" s="117">
        <f t="shared" si="9"/>
        <v>0.85545140068322512</v>
      </c>
      <c r="C79" s="117">
        <f t="shared" si="9"/>
        <v>0.99136079960668844</v>
      </c>
      <c r="D79" s="117">
        <f t="shared" si="9"/>
        <v>1.1938735268125338</v>
      </c>
      <c r="E79" s="117">
        <f t="shared" si="9"/>
        <v>0.87550384084247035</v>
      </c>
      <c r="F79" s="117">
        <f t="shared" si="9"/>
        <v>1</v>
      </c>
    </row>
    <row r="80" spans="1:13" ht="15.6" x14ac:dyDescent="0.3">
      <c r="A80" s="116" t="str">
        <f t="shared" si="8"/>
        <v>PS</v>
      </c>
      <c r="B80" s="117">
        <f t="shared" si="9"/>
        <v>0.94407443833692406</v>
      </c>
      <c r="C80" s="117">
        <f t="shared" si="9"/>
        <v>1.0274794508153755</v>
      </c>
      <c r="D80" s="117">
        <f t="shared" si="9"/>
        <v>0.9898862198456142</v>
      </c>
      <c r="E80" s="117">
        <f t="shared" si="9"/>
        <v>1.0508132719379286</v>
      </c>
      <c r="F80" s="117">
        <f t="shared" si="9"/>
        <v>1</v>
      </c>
    </row>
    <row r="81" spans="1:6" ht="15.6" x14ac:dyDescent="0.3">
      <c r="A81" s="116" t="str">
        <f t="shared" si="8"/>
        <v>Verts</v>
      </c>
      <c r="B81" s="117">
        <f t="shared" si="9"/>
        <v>0.88848767074908874</v>
      </c>
      <c r="C81" s="117">
        <f t="shared" si="9"/>
        <v>0.91790260207106189</v>
      </c>
      <c r="D81" s="117">
        <f t="shared" si="9"/>
        <v>1.0187746679616059</v>
      </c>
      <c r="E81" s="117">
        <f t="shared" si="9"/>
        <v>1.3549677988976199</v>
      </c>
      <c r="F81" s="117">
        <f t="shared" si="9"/>
        <v>1</v>
      </c>
    </row>
    <row r="82" spans="1:6" ht="15.6" x14ac:dyDescent="0.3">
      <c r="A82" s="116" t="str">
        <f t="shared" si="8"/>
        <v>UDF</v>
      </c>
      <c r="B82" s="117">
        <f t="shared" si="9"/>
        <v>0.98756431214881957</v>
      </c>
      <c r="C82" s="117">
        <f t="shared" si="9"/>
        <v>0.98082301514322734</v>
      </c>
      <c r="D82" s="117">
        <f t="shared" si="9"/>
        <v>1.009159698124332</v>
      </c>
      <c r="E82" s="117">
        <f t="shared" si="9"/>
        <v>1.0495379476273268</v>
      </c>
      <c r="F82" s="117">
        <f t="shared" si="9"/>
        <v>1</v>
      </c>
    </row>
    <row r="83" spans="1:6" ht="15.6" x14ac:dyDescent="0.3">
      <c r="A83" s="116" t="str">
        <f t="shared" si="8"/>
        <v>UMP</v>
      </c>
      <c r="B83" s="117">
        <f t="shared" si="9"/>
        <v>1.0217919395368655</v>
      </c>
      <c r="C83" s="117">
        <f t="shared" si="9"/>
        <v>0.97089464172176532</v>
      </c>
      <c r="D83" s="117">
        <f t="shared" si="9"/>
        <v>0.96515882267937225</v>
      </c>
      <c r="E83" s="117">
        <f t="shared" si="9"/>
        <v>1.1042707132417955</v>
      </c>
      <c r="F83" s="117">
        <f t="shared" si="9"/>
        <v>1</v>
      </c>
    </row>
    <row r="84" spans="1:6" ht="15.6" x14ac:dyDescent="0.3">
      <c r="A84" s="116" t="str">
        <f t="shared" si="8"/>
        <v>DVD</v>
      </c>
      <c r="B84" s="117">
        <f t="shared" si="9"/>
        <v>1.0826348628474791</v>
      </c>
      <c r="C84" s="117">
        <f t="shared" si="9"/>
        <v>1.0723372512098994</v>
      </c>
      <c r="D84" s="117">
        <f t="shared" si="9"/>
        <v>0.92672103154555485</v>
      </c>
      <c r="E84" s="117">
        <f t="shared" si="9"/>
        <v>0.83032026760713307</v>
      </c>
      <c r="F84" s="117">
        <f t="shared" si="9"/>
        <v>1</v>
      </c>
    </row>
    <row r="85" spans="1:6" ht="15.6" x14ac:dyDescent="0.3">
      <c r="A85" s="116" t="str">
        <f t="shared" si="8"/>
        <v>FN</v>
      </c>
      <c r="B85" s="117">
        <f t="shared" si="9"/>
        <v>1.076180451311888</v>
      </c>
      <c r="C85" s="117">
        <f t="shared" si="9"/>
        <v>1.0157308172743351</v>
      </c>
      <c r="D85" s="117">
        <f t="shared" si="9"/>
        <v>1.0134401186556656</v>
      </c>
      <c r="E85" s="117">
        <f t="shared" si="9"/>
        <v>0.80204791785340246</v>
      </c>
      <c r="F85" s="117">
        <f t="shared" si="9"/>
        <v>1</v>
      </c>
    </row>
    <row r="86" spans="1:6" ht="15.6" x14ac:dyDescent="0.3">
      <c r="A86" s="116" t="str">
        <f t="shared" si="8"/>
        <v>CPNT</v>
      </c>
      <c r="B86" s="117">
        <f t="shared" si="9"/>
        <v>1.8971321942587114</v>
      </c>
      <c r="C86" s="117">
        <f t="shared" si="9"/>
        <v>1.1039522355720517</v>
      </c>
      <c r="D86" s="117">
        <f t="shared" si="9"/>
        <v>0.47976597146269861</v>
      </c>
      <c r="E86" s="117">
        <f t="shared" si="9"/>
        <v>0.25383074677645712</v>
      </c>
      <c r="F86" s="117">
        <f t="shared" si="9"/>
        <v>1</v>
      </c>
    </row>
    <row r="87" spans="1:6" ht="15.6" x14ac:dyDescent="0.3">
      <c r="A87" s="116" t="str">
        <f t="shared" si="8"/>
        <v>REG</v>
      </c>
      <c r="B87" s="117">
        <f t="shared" si="9"/>
        <v>1.2786643210680881</v>
      </c>
      <c r="C87" s="117">
        <f t="shared" si="9"/>
        <v>1.0601501836724434</v>
      </c>
      <c r="D87" s="117">
        <f t="shared" si="9"/>
        <v>0.92138452685806427</v>
      </c>
      <c r="E87" s="117">
        <f t="shared" si="9"/>
        <v>0.53077001470801577</v>
      </c>
      <c r="F87" s="117">
        <f t="shared" si="9"/>
        <v>1</v>
      </c>
    </row>
    <row r="88" spans="1:6" ht="15.6" x14ac:dyDescent="0.3">
      <c r="A88" s="116" t="str">
        <f t="shared" si="8"/>
        <v>DIV</v>
      </c>
      <c r="B88" s="117">
        <f t="shared" si="9"/>
        <v>0.96880906366576924</v>
      </c>
      <c r="C88" s="117">
        <f t="shared" si="9"/>
        <v>0.89958477564381423</v>
      </c>
      <c r="D88" s="117">
        <f t="shared" si="9"/>
        <v>1.197361857082808</v>
      </c>
      <c r="E88" s="117">
        <f t="shared" si="9"/>
        <v>0.89511393072394196</v>
      </c>
      <c r="F88" s="117">
        <f t="shared" si="9"/>
        <v>1</v>
      </c>
    </row>
    <row r="89" spans="1:6" ht="15" thickBot="1" x14ac:dyDescent="0.35"/>
    <row r="90" spans="1:6" ht="16.8" thickTop="1" thickBot="1" x14ac:dyDescent="0.35">
      <c r="A90" s="115">
        <v>2009</v>
      </c>
      <c r="B90" s="144" t="s">
        <v>180</v>
      </c>
      <c r="C90" s="145"/>
      <c r="D90" s="145"/>
      <c r="E90" s="145"/>
      <c r="F90" s="145"/>
    </row>
    <row r="91" spans="1:6" ht="16.2" thickTop="1" x14ac:dyDescent="0.3">
      <c r="A91" s="116"/>
      <c r="B91" s="116" t="s">
        <v>181</v>
      </c>
      <c r="C91" s="116" t="s">
        <v>182</v>
      </c>
      <c r="D91" s="116" t="s">
        <v>183</v>
      </c>
      <c r="E91" s="116" t="s">
        <v>184</v>
      </c>
      <c r="F91" s="116" t="s">
        <v>185</v>
      </c>
    </row>
    <row r="92" spans="1:6" ht="15.6" x14ac:dyDescent="0.3">
      <c r="A92" s="5" t="s">
        <v>6</v>
      </c>
      <c r="B92" s="117">
        <v>7.1565940976142883E-2</v>
      </c>
      <c r="C92" s="117">
        <v>6.6374398767948151E-2</v>
      </c>
      <c r="D92" s="117">
        <v>5.4926972836256027E-2</v>
      </c>
      <c r="E92" s="117">
        <v>5.1231563091278076E-2</v>
      </c>
      <c r="F92" s="117">
        <v>6.2203597277402878E-2</v>
      </c>
    </row>
    <row r="93" spans="1:6" ht="15.6" x14ac:dyDescent="0.3">
      <c r="A93" s="5" t="s">
        <v>39</v>
      </c>
      <c r="B93" s="117">
        <v>5.4412961006164551E-2</v>
      </c>
      <c r="C93" s="117">
        <v>6.2081385403871536E-2</v>
      </c>
      <c r="D93" s="117">
        <v>7.0586413145065308E-2</v>
      </c>
      <c r="E93" s="117">
        <v>5.8451756834983826E-2</v>
      </c>
      <c r="F93" s="117">
        <v>6.2219772487878799E-2</v>
      </c>
    </row>
    <row r="94" spans="1:6" ht="15.6" x14ac:dyDescent="0.3">
      <c r="A94" s="5" t="s">
        <v>2</v>
      </c>
      <c r="B94" s="117">
        <v>0.15747465193271637</v>
      </c>
      <c r="C94" s="117">
        <v>0.17172032594680786</v>
      </c>
      <c r="D94" s="117">
        <v>0.15977285802364349</v>
      </c>
      <c r="E94" s="117">
        <v>0.1680268794298172</v>
      </c>
      <c r="F94" s="117">
        <v>0.16443592309951782</v>
      </c>
    </row>
    <row r="95" spans="1:6" ht="15.6" x14ac:dyDescent="0.3">
      <c r="A95" s="5" t="s">
        <v>40</v>
      </c>
      <c r="B95" s="117">
        <v>3.579239419195801E-4</v>
      </c>
      <c r="C95" s="117">
        <v>3.2246223418042064E-4</v>
      </c>
      <c r="D95" s="117">
        <v>4.7254591481760144E-4</v>
      </c>
      <c r="E95" s="117">
        <v>5.5583578068763018E-4</v>
      </c>
      <c r="F95" s="117">
        <v>4.0626921691000462E-4</v>
      </c>
    </row>
    <row r="96" spans="1:6" ht="15.6" x14ac:dyDescent="0.3">
      <c r="A96" s="5" t="s">
        <v>186</v>
      </c>
      <c r="B96" s="117">
        <v>0.13971197605133057</v>
      </c>
      <c r="C96" s="117">
        <v>0.14675475656986237</v>
      </c>
      <c r="D96" s="117">
        <v>0.17510664463043213</v>
      </c>
      <c r="E96" s="117">
        <v>0.21768909692764282</v>
      </c>
      <c r="F96" s="117">
        <v>0.16309085488319397</v>
      </c>
    </row>
    <row r="97" spans="1:6" ht="15.6" x14ac:dyDescent="0.3">
      <c r="A97" s="5" t="s">
        <v>42</v>
      </c>
      <c r="B97" s="117">
        <v>8.6966998875141144E-2</v>
      </c>
      <c r="C97" s="117">
        <v>8.294203132390976E-2</v>
      </c>
      <c r="D97" s="117">
        <v>8.3973877131938934E-2</v>
      </c>
      <c r="E97" s="117">
        <v>8.349926769733429E-2</v>
      </c>
      <c r="F97" s="117">
        <v>8.4259845316410065E-2</v>
      </c>
    </row>
    <row r="98" spans="1:6" ht="15.6" x14ac:dyDescent="0.3">
      <c r="A98" s="5" t="s">
        <v>37</v>
      </c>
      <c r="B98" s="117">
        <v>0.27880957722663879</v>
      </c>
      <c r="C98" s="117">
        <v>0.27856132388114929</v>
      </c>
      <c r="D98" s="117">
        <v>0.27591341733932495</v>
      </c>
      <c r="E98" s="117">
        <v>0.28085324168205261</v>
      </c>
      <c r="F98" s="117">
        <v>0.27817773818969727</v>
      </c>
    </row>
    <row r="99" spans="1:6" ht="15.6" x14ac:dyDescent="0.3">
      <c r="A99" s="5" t="s">
        <v>35</v>
      </c>
      <c r="B99" s="117">
        <v>9.2186592519283295E-2</v>
      </c>
      <c r="C99" s="117">
        <v>7.8216098248958588E-2</v>
      </c>
      <c r="D99" s="117">
        <v>6.0836642980575562E-2</v>
      </c>
      <c r="E99" s="117">
        <v>4.9198880791664124E-2</v>
      </c>
      <c r="F99" s="117">
        <v>7.2475433349609375E-2</v>
      </c>
    </row>
    <row r="100" spans="1:6" ht="15.6" x14ac:dyDescent="0.3">
      <c r="A100" s="5" t="s">
        <v>0</v>
      </c>
      <c r="B100" s="117">
        <v>7.24310502409935E-2</v>
      </c>
      <c r="C100" s="117">
        <v>6.5994828939437866E-2</v>
      </c>
      <c r="D100" s="117">
        <v>6.3627175986766815E-2</v>
      </c>
      <c r="E100" s="117">
        <v>5.1435314118862152E-2</v>
      </c>
      <c r="F100" s="117">
        <v>6.4803391695022583E-2</v>
      </c>
    </row>
    <row r="101" spans="1:6" ht="15.6" x14ac:dyDescent="0.3">
      <c r="A101" s="5" t="s">
        <v>38</v>
      </c>
      <c r="B101" s="117">
        <v>2.2885440848767757E-3</v>
      </c>
      <c r="C101" s="117">
        <v>3.6154314875602722E-3</v>
      </c>
      <c r="D101" s="117">
        <v>1.8859625561162829E-3</v>
      </c>
      <c r="E101" s="117">
        <v>1.7312058480456471E-3</v>
      </c>
      <c r="F101" s="117">
        <v>2.5460587348788977E-3</v>
      </c>
    </row>
    <row r="102" spans="1:6" ht="15.6" x14ac:dyDescent="0.3">
      <c r="A102" s="5" t="s">
        <v>1</v>
      </c>
      <c r="B102" s="117">
        <v>4.3793775141239166E-2</v>
      </c>
      <c r="C102" s="117">
        <v>4.3416943401098251E-2</v>
      </c>
      <c r="D102" s="117">
        <v>5.2897494286298752E-2</v>
      </c>
      <c r="E102" s="117">
        <v>3.7326943129301071E-2</v>
      </c>
      <c r="F102" s="117">
        <v>4.5381106436252594E-2</v>
      </c>
    </row>
    <row r="103" spans="1:6" ht="15" thickBot="1" x14ac:dyDescent="0.35">
      <c r="A103" s="118"/>
      <c r="B103" s="118"/>
      <c r="C103" s="118"/>
      <c r="D103" s="118"/>
      <c r="E103" s="118"/>
      <c r="F103" s="118"/>
    </row>
    <row r="104" spans="1:6" ht="16.8" thickTop="1" thickBot="1" x14ac:dyDescent="0.35">
      <c r="A104" s="103"/>
      <c r="B104" s="144" t="s">
        <v>180</v>
      </c>
      <c r="C104" s="145"/>
      <c r="D104" s="145"/>
      <c r="E104" s="145"/>
      <c r="F104" s="145"/>
    </row>
    <row r="105" spans="1:6" ht="16.2" thickTop="1" x14ac:dyDescent="0.3">
      <c r="A105" s="116"/>
      <c r="B105" s="116" t="s">
        <v>181</v>
      </c>
      <c r="C105" s="116" t="s">
        <v>182</v>
      </c>
      <c r="D105" s="116" t="s">
        <v>183</v>
      </c>
      <c r="E105" s="116" t="s">
        <v>184</v>
      </c>
      <c r="F105" s="116" t="s">
        <v>185</v>
      </c>
    </row>
    <row r="106" spans="1:6" ht="15.6" x14ac:dyDescent="0.3">
      <c r="A106" s="116" t="str">
        <f t="shared" ref="A106:A116" si="10">A92</f>
        <v>LO</v>
      </c>
      <c r="B106" s="117">
        <f t="shared" ref="B106:F116" si="11">B92/$F92</f>
        <v>1.1505112904803196</v>
      </c>
      <c r="C106" s="117">
        <f t="shared" si="11"/>
        <v>1.0670508085239057</v>
      </c>
      <c r="D106" s="117">
        <f t="shared" si="11"/>
        <v>0.88301923426235218</v>
      </c>
      <c r="E106" s="117">
        <f t="shared" si="11"/>
        <v>0.82361093784988082</v>
      </c>
      <c r="F106" s="117">
        <f t="shared" si="11"/>
        <v>1</v>
      </c>
    </row>
    <row r="107" spans="1:6" ht="15.6" x14ac:dyDescent="0.3">
      <c r="A107" s="116" t="str">
        <f t="shared" si="10"/>
        <v>FG</v>
      </c>
      <c r="B107" s="117">
        <f t="shared" si="11"/>
        <v>0.87452844699431975</v>
      </c>
      <c r="C107" s="117">
        <f t="shared" si="11"/>
        <v>0.99777583429714045</v>
      </c>
      <c r="D107" s="117">
        <f t="shared" si="11"/>
        <v>1.1344691618539178</v>
      </c>
      <c r="E107" s="117">
        <f t="shared" si="11"/>
        <v>0.939440221295746</v>
      </c>
      <c r="F107" s="117">
        <f t="shared" si="11"/>
        <v>1</v>
      </c>
    </row>
    <row r="108" spans="1:6" ht="15.6" x14ac:dyDescent="0.3">
      <c r="A108" s="116" t="str">
        <f t="shared" si="10"/>
        <v>PS</v>
      </c>
      <c r="B108" s="117">
        <f t="shared" si="11"/>
        <v>0.95766575188933356</v>
      </c>
      <c r="C108" s="117">
        <f t="shared" si="11"/>
        <v>1.0442993398886535</v>
      </c>
      <c r="D108" s="117">
        <f t="shared" si="11"/>
        <v>0.97164205370713186</v>
      </c>
      <c r="E108" s="117">
        <f t="shared" si="11"/>
        <v>1.0218380282277255</v>
      </c>
      <c r="F108" s="117">
        <f t="shared" si="11"/>
        <v>1</v>
      </c>
    </row>
    <row r="109" spans="1:6" ht="15.6" x14ac:dyDescent="0.3">
      <c r="A109" s="116" t="str">
        <f t="shared" si="10"/>
        <v>DVG</v>
      </c>
      <c r="B109" s="117">
        <f t="shared" si="11"/>
        <v>0.88100187516512285</v>
      </c>
      <c r="C109" s="117">
        <f t="shared" si="11"/>
        <v>0.79371564656805238</v>
      </c>
      <c r="D109" s="117">
        <f t="shared" si="11"/>
        <v>1.1631349242053901</v>
      </c>
      <c r="E109" s="117">
        <f t="shared" si="11"/>
        <v>1.3681464348079244</v>
      </c>
      <c r="F109" s="117">
        <f t="shared" si="11"/>
        <v>1</v>
      </c>
    </row>
    <row r="110" spans="1:6" ht="15.6" x14ac:dyDescent="0.3">
      <c r="A110" s="116" t="str">
        <f t="shared" si="10"/>
        <v>EELV</v>
      </c>
      <c r="B110" s="117">
        <f t="shared" si="11"/>
        <v>0.85665119697479419</v>
      </c>
      <c r="C110" s="117">
        <f t="shared" si="11"/>
        <v>0.89983436946828466</v>
      </c>
      <c r="D110" s="117">
        <f t="shared" si="11"/>
        <v>1.0736754354242848</v>
      </c>
      <c r="E110" s="117">
        <f t="shared" si="11"/>
        <v>1.3347719409745704</v>
      </c>
      <c r="F110" s="117">
        <f t="shared" si="11"/>
        <v>1</v>
      </c>
    </row>
    <row r="111" spans="1:6" ht="15.6" x14ac:dyDescent="0.3">
      <c r="A111" s="116" t="str">
        <f t="shared" si="10"/>
        <v>MDM</v>
      </c>
      <c r="B111" s="117">
        <f t="shared" si="11"/>
        <v>1.0321286319547023</v>
      </c>
      <c r="C111" s="117">
        <f t="shared" si="11"/>
        <v>0.98436011854102401</v>
      </c>
      <c r="D111" s="117">
        <f t="shared" si="11"/>
        <v>0.99660611548244282</v>
      </c>
      <c r="E111" s="117">
        <f t="shared" si="11"/>
        <v>0.9909734273043147</v>
      </c>
      <c r="F111" s="117">
        <f t="shared" si="11"/>
        <v>1</v>
      </c>
    </row>
    <row r="112" spans="1:6" ht="15.6" x14ac:dyDescent="0.3">
      <c r="A112" s="116" t="str">
        <f t="shared" si="10"/>
        <v>UMP</v>
      </c>
      <c r="B112" s="117">
        <f t="shared" si="11"/>
        <v>1.0022713501125338</v>
      </c>
      <c r="C112" s="117">
        <f t="shared" si="11"/>
        <v>1.0013789230365748</v>
      </c>
      <c r="D112" s="117">
        <f t="shared" si="11"/>
        <v>0.99186016514079134</v>
      </c>
      <c r="E112" s="117">
        <f t="shared" si="11"/>
        <v>1.0096179640749356</v>
      </c>
      <c r="F112" s="117">
        <f t="shared" si="11"/>
        <v>1</v>
      </c>
    </row>
    <row r="113" spans="1:6" ht="15.6" x14ac:dyDescent="0.3">
      <c r="A113" s="116" t="str">
        <f t="shared" si="10"/>
        <v>DVD</v>
      </c>
      <c r="B113" s="117">
        <f t="shared" si="11"/>
        <v>1.2719702147152481</v>
      </c>
      <c r="C113" s="117">
        <f t="shared" si="11"/>
        <v>1.0792084246210327</v>
      </c>
      <c r="D113" s="117">
        <f t="shared" si="11"/>
        <v>0.83941054463392806</v>
      </c>
      <c r="E113" s="117">
        <f t="shared" si="11"/>
        <v>0.67883527586978265</v>
      </c>
      <c r="F113" s="117">
        <f t="shared" si="11"/>
        <v>1</v>
      </c>
    </row>
    <row r="114" spans="1:6" ht="15.6" x14ac:dyDescent="0.3">
      <c r="A114" s="116" t="str">
        <f t="shared" si="10"/>
        <v>FN</v>
      </c>
      <c r="B114" s="117">
        <f t="shared" si="11"/>
        <v>1.1177046192561675</v>
      </c>
      <c r="C114" s="117">
        <f t="shared" si="11"/>
        <v>1.0183854149181331</v>
      </c>
      <c r="D114" s="117">
        <f t="shared" si="11"/>
        <v>0.98184947303697823</v>
      </c>
      <c r="E114" s="117">
        <f t="shared" si="11"/>
        <v>0.7937133037870423</v>
      </c>
      <c r="F114" s="117">
        <f t="shared" si="11"/>
        <v>1</v>
      </c>
    </row>
    <row r="115" spans="1:6" ht="15.6" x14ac:dyDescent="0.3">
      <c r="A115" s="116" t="str">
        <f t="shared" si="10"/>
        <v>REG</v>
      </c>
      <c r="B115" s="117">
        <f t="shared" si="11"/>
        <v>0.89885753754444686</v>
      </c>
      <c r="C115" s="117">
        <f t="shared" si="11"/>
        <v>1.4200110303944888</v>
      </c>
      <c r="D115" s="117">
        <f t="shared" si="11"/>
        <v>0.74073803965327145</v>
      </c>
      <c r="E115" s="117">
        <f t="shared" si="11"/>
        <v>0.6799551889080796</v>
      </c>
      <c r="F115" s="117">
        <f t="shared" si="11"/>
        <v>1</v>
      </c>
    </row>
    <row r="116" spans="1:6" ht="15.6" x14ac:dyDescent="0.3">
      <c r="A116" s="116" t="str">
        <f t="shared" si="10"/>
        <v>DIV</v>
      </c>
      <c r="B116" s="117">
        <f t="shared" si="11"/>
        <v>0.9650221993321566</v>
      </c>
      <c r="C116" s="117">
        <f t="shared" si="11"/>
        <v>0.95671848508335888</v>
      </c>
      <c r="D116" s="117">
        <f t="shared" si="11"/>
        <v>1.165628131182842</v>
      </c>
      <c r="E116" s="117">
        <f t="shared" si="11"/>
        <v>0.8225216628804477</v>
      </c>
      <c r="F116" s="117">
        <f t="shared" si="11"/>
        <v>1</v>
      </c>
    </row>
    <row r="117" spans="1:6" ht="15" thickBot="1" x14ac:dyDescent="0.35"/>
    <row r="118" spans="1:6" ht="16.8" thickTop="1" thickBot="1" x14ac:dyDescent="0.35">
      <c r="A118" s="115">
        <v>2014</v>
      </c>
      <c r="B118" s="144" t="s">
        <v>180</v>
      </c>
      <c r="C118" s="145"/>
      <c r="D118" s="145"/>
      <c r="E118" s="145"/>
      <c r="F118" s="145"/>
    </row>
    <row r="119" spans="1:6" ht="16.2" thickTop="1" x14ac:dyDescent="0.3">
      <c r="A119" s="116"/>
      <c r="B119" s="116" t="s">
        <v>181</v>
      </c>
      <c r="C119" s="116" t="s">
        <v>182</v>
      </c>
      <c r="D119" s="116" t="s">
        <v>183</v>
      </c>
      <c r="E119" s="116" t="s">
        <v>184</v>
      </c>
      <c r="F119" s="116" t="s">
        <v>185</v>
      </c>
    </row>
    <row r="120" spans="1:6" ht="15.6" x14ac:dyDescent="0.3">
      <c r="A120" s="5" t="s">
        <v>6</v>
      </c>
      <c r="B120" s="117">
        <v>1.603027805685997E-2</v>
      </c>
      <c r="C120" s="117">
        <v>1.5688216313719749E-2</v>
      </c>
      <c r="D120" s="117">
        <v>1.6282759606838226E-2</v>
      </c>
      <c r="E120" s="117">
        <v>1.3406014069914818E-2</v>
      </c>
      <c r="F120" s="117">
        <v>1.5630852431058884E-2</v>
      </c>
    </row>
    <row r="121" spans="1:6" ht="15.6" x14ac:dyDescent="0.3">
      <c r="A121" s="5" t="s">
        <v>39</v>
      </c>
      <c r="B121" s="117">
        <v>6.0964498668909073E-2</v>
      </c>
      <c r="C121" s="117">
        <v>6.3320301473140717E-2</v>
      </c>
      <c r="D121" s="117">
        <v>6.8830855190753937E-2</v>
      </c>
      <c r="E121" s="117">
        <v>6.6557861864566803E-2</v>
      </c>
      <c r="F121" s="117">
        <v>6.4757995307445526E-2</v>
      </c>
    </row>
    <row r="122" spans="1:6" ht="15.6" x14ac:dyDescent="0.3">
      <c r="A122" s="5" t="s">
        <v>2</v>
      </c>
      <c r="B122" s="117">
        <v>0.1229916587471962</v>
      </c>
      <c r="C122" s="117">
        <v>0.13825377821922302</v>
      </c>
      <c r="D122" s="117">
        <v>0.13929273188114166</v>
      </c>
      <c r="E122" s="117">
        <v>0.17139334976673126</v>
      </c>
      <c r="F122" s="117">
        <v>0.13938635587692261</v>
      </c>
    </row>
    <row r="123" spans="1:6" ht="15.6" x14ac:dyDescent="0.3">
      <c r="A123" s="5" t="s">
        <v>40</v>
      </c>
      <c r="B123" s="117">
        <v>2.6349049061536789E-2</v>
      </c>
      <c r="C123" s="117">
        <v>2.7878081426024437E-2</v>
      </c>
      <c r="D123" s="117">
        <v>3.0475521460175514E-2</v>
      </c>
      <c r="E123" s="117">
        <v>3.6712344735860825E-2</v>
      </c>
      <c r="F123" s="117">
        <v>2.9439067468047142E-2</v>
      </c>
    </row>
    <row r="124" spans="1:6" ht="15.6" x14ac:dyDescent="0.3">
      <c r="A124" s="5" t="s">
        <v>186</v>
      </c>
      <c r="B124" s="117">
        <v>7.9802669584751129E-2</v>
      </c>
      <c r="C124" s="117">
        <v>8.2833714783191681E-2</v>
      </c>
      <c r="D124" s="117">
        <v>8.8957294821739197E-2</v>
      </c>
      <c r="E124" s="117">
        <v>0.12496211379766464</v>
      </c>
      <c r="F124" s="117">
        <v>8.9513540267944336E-2</v>
      </c>
    </row>
    <row r="125" spans="1:6" ht="15.6" x14ac:dyDescent="0.3">
      <c r="A125" s="5" t="s">
        <v>42</v>
      </c>
      <c r="B125" s="117">
        <v>8.8052809238433838E-2</v>
      </c>
      <c r="C125" s="117">
        <v>9.5754116773605347E-2</v>
      </c>
      <c r="D125" s="117">
        <v>0.10658044368028641</v>
      </c>
      <c r="E125" s="117">
        <v>0.11091639846563339</v>
      </c>
      <c r="F125" s="117">
        <v>9.9033713340759277E-2</v>
      </c>
    </row>
    <row r="126" spans="1:6" ht="15.6" x14ac:dyDescent="0.3">
      <c r="A126" s="5" t="s">
        <v>37</v>
      </c>
      <c r="B126" s="117">
        <v>0.20914983749389648</v>
      </c>
      <c r="C126" s="117">
        <v>0.20738106966018677</v>
      </c>
      <c r="D126" s="117">
        <v>0.20326787233352661</v>
      </c>
      <c r="E126" s="117">
        <v>0.20788495242595673</v>
      </c>
      <c r="F126" s="117">
        <v>0.20670302212238312</v>
      </c>
    </row>
    <row r="127" spans="1:6" ht="15.6" x14ac:dyDescent="0.3">
      <c r="A127" s="5" t="s">
        <v>35</v>
      </c>
      <c r="B127" s="117">
        <v>6.0857858508825302E-2</v>
      </c>
      <c r="C127" s="117">
        <v>5.9134457260370255E-2</v>
      </c>
      <c r="D127" s="117">
        <v>6.3996903598308563E-2</v>
      </c>
      <c r="E127" s="117">
        <v>5.3516343235969543E-2</v>
      </c>
      <c r="F127" s="117">
        <v>6.0164768248796463E-2</v>
      </c>
    </row>
    <row r="128" spans="1:6" ht="15.6" x14ac:dyDescent="0.3">
      <c r="A128" s="5" t="s">
        <v>0</v>
      </c>
      <c r="B128" s="117">
        <v>0.29557520151138306</v>
      </c>
      <c r="C128" s="117">
        <v>0.26744535565376282</v>
      </c>
      <c r="D128" s="117">
        <v>0.23406356573104858</v>
      </c>
      <c r="E128" s="117">
        <v>0.17100797593593597</v>
      </c>
      <c r="F128" s="117">
        <v>0.25169211626052856</v>
      </c>
    </row>
    <row r="129" spans="1:6" ht="15.6" x14ac:dyDescent="0.3">
      <c r="A129" s="5" t="s">
        <v>1</v>
      </c>
      <c r="B129" s="117">
        <v>4.0226127952337265E-2</v>
      </c>
      <c r="C129" s="117">
        <v>4.2310897260904312E-2</v>
      </c>
      <c r="D129" s="117">
        <v>4.8252049833536148E-2</v>
      </c>
      <c r="E129" s="117">
        <v>4.3642647564411163E-2</v>
      </c>
      <c r="F129" s="117">
        <v>4.3678566813468933E-2</v>
      </c>
    </row>
    <row r="130" spans="1:6" ht="15" thickBot="1" x14ac:dyDescent="0.35">
      <c r="A130" s="118"/>
      <c r="B130" s="118"/>
      <c r="C130" s="118"/>
      <c r="D130" s="118"/>
      <c r="E130" s="118"/>
      <c r="F130" s="118"/>
    </row>
    <row r="131" spans="1:6" ht="16.8" thickTop="1" thickBot="1" x14ac:dyDescent="0.35">
      <c r="A131" s="103"/>
      <c r="B131" s="144" t="s">
        <v>180</v>
      </c>
      <c r="C131" s="145"/>
      <c r="D131" s="145"/>
      <c r="E131" s="145"/>
      <c r="F131" s="145"/>
    </row>
    <row r="132" spans="1:6" ht="16.2" thickTop="1" x14ac:dyDescent="0.3">
      <c r="A132" s="116"/>
      <c r="B132" s="116" t="s">
        <v>181</v>
      </c>
      <c r="C132" s="116" t="s">
        <v>182</v>
      </c>
      <c r="D132" s="116" t="s">
        <v>183</v>
      </c>
      <c r="E132" s="116" t="s">
        <v>184</v>
      </c>
      <c r="F132" s="116" t="s">
        <v>185</v>
      </c>
    </row>
    <row r="133" spans="1:6" ht="15.6" x14ac:dyDescent="0.3">
      <c r="A133" s="116" t="str">
        <f t="shared" ref="A133:A142" si="12">A120</f>
        <v>LO</v>
      </c>
      <c r="B133" s="117">
        <f t="shared" ref="B133:F142" si="13">B120/$F120</f>
        <v>1.0255536687818394</v>
      </c>
      <c r="C133" s="117">
        <f t="shared" si="13"/>
        <v>1.0036699139035361</v>
      </c>
      <c r="D133" s="117">
        <f t="shared" si="13"/>
        <v>1.0417064378705276</v>
      </c>
      <c r="E133" s="117">
        <f t="shared" si="13"/>
        <v>0.85766365775910869</v>
      </c>
      <c r="F133" s="117">
        <f t="shared" si="13"/>
        <v>1</v>
      </c>
    </row>
    <row r="134" spans="1:6" ht="15.6" x14ac:dyDescent="0.3">
      <c r="A134" s="116" t="str">
        <f t="shared" si="12"/>
        <v>FG</v>
      </c>
      <c r="B134" s="117">
        <f t="shared" si="13"/>
        <v>0.94142041271465526</v>
      </c>
      <c r="C134" s="117">
        <f t="shared" si="13"/>
        <v>0.97779897559399109</v>
      </c>
      <c r="D134" s="117">
        <f t="shared" si="13"/>
        <v>1.0628935448661139</v>
      </c>
      <c r="E134" s="117">
        <f t="shared" si="13"/>
        <v>1.0277937349446384</v>
      </c>
      <c r="F134" s="117">
        <f t="shared" si="13"/>
        <v>1</v>
      </c>
    </row>
    <row r="135" spans="1:6" ht="15.6" x14ac:dyDescent="0.3">
      <c r="A135" s="116" t="str">
        <f t="shared" si="12"/>
        <v>PS</v>
      </c>
      <c r="B135" s="117">
        <f t="shared" si="13"/>
        <v>0.88237946944962931</v>
      </c>
      <c r="C135" s="117">
        <f t="shared" si="13"/>
        <v>0.99187454431551647</v>
      </c>
      <c r="D135" s="117">
        <f t="shared" si="13"/>
        <v>0.99932831305336933</v>
      </c>
      <c r="E135" s="117">
        <f t="shared" si="13"/>
        <v>1.2296278835072685</v>
      </c>
      <c r="F135" s="117">
        <f t="shared" si="13"/>
        <v>1</v>
      </c>
    </row>
    <row r="136" spans="1:6" ht="15.6" x14ac:dyDescent="0.3">
      <c r="A136" s="116" t="str">
        <f t="shared" si="12"/>
        <v>DVG</v>
      </c>
      <c r="B136" s="117">
        <f t="shared" si="13"/>
        <v>0.89503681086827136</v>
      </c>
      <c r="C136" s="117">
        <f t="shared" si="13"/>
        <v>0.94697569670924586</v>
      </c>
      <c r="D136" s="117">
        <f t="shared" si="13"/>
        <v>1.0352067535173568</v>
      </c>
      <c r="E136" s="117">
        <f t="shared" si="13"/>
        <v>1.2470620808797026</v>
      </c>
      <c r="F136" s="117">
        <f t="shared" si="13"/>
        <v>1</v>
      </c>
    </row>
    <row r="137" spans="1:6" ht="15.6" x14ac:dyDescent="0.3">
      <c r="A137" s="116" t="str">
        <f t="shared" si="12"/>
        <v>EELV</v>
      </c>
      <c r="B137" s="117">
        <f t="shared" si="13"/>
        <v>0.89151506404365999</v>
      </c>
      <c r="C137" s="117">
        <f t="shared" si="13"/>
        <v>0.92537636803596779</v>
      </c>
      <c r="D137" s="117">
        <f t="shared" si="13"/>
        <v>0.99378590719861926</v>
      </c>
      <c r="E137" s="117">
        <f t="shared" si="13"/>
        <v>1.3960135351993757</v>
      </c>
      <c r="F137" s="117">
        <f t="shared" si="13"/>
        <v>1</v>
      </c>
    </row>
    <row r="138" spans="1:6" ht="15.6" x14ac:dyDescent="0.3">
      <c r="A138" s="116" t="str">
        <f t="shared" si="12"/>
        <v>MDM</v>
      </c>
      <c r="B138" s="117">
        <f t="shared" si="13"/>
        <v>0.88911953584390102</v>
      </c>
      <c r="C138" s="117">
        <f t="shared" si="13"/>
        <v>0.96688403921733845</v>
      </c>
      <c r="D138" s="117">
        <f t="shared" si="13"/>
        <v>1.0762036490902853</v>
      </c>
      <c r="E138" s="117">
        <f t="shared" si="13"/>
        <v>1.1199862624961632</v>
      </c>
      <c r="F138" s="117">
        <f t="shared" si="13"/>
        <v>1</v>
      </c>
    </row>
    <row r="139" spans="1:6" ht="15.6" x14ac:dyDescent="0.3">
      <c r="A139" s="116" t="str">
        <f t="shared" si="12"/>
        <v>UMP</v>
      </c>
      <c r="B139" s="117">
        <f t="shared" si="13"/>
        <v>1.0118373468679362</v>
      </c>
      <c r="C139" s="117">
        <f t="shared" si="13"/>
        <v>1.0032802981342102</v>
      </c>
      <c r="D139" s="117">
        <f t="shared" si="13"/>
        <v>0.98338123093902974</v>
      </c>
      <c r="E139" s="117">
        <f t="shared" si="13"/>
        <v>1.005718011722508</v>
      </c>
      <c r="F139" s="117">
        <f t="shared" si="13"/>
        <v>1</v>
      </c>
    </row>
    <row r="140" spans="1:6" ht="15.6" x14ac:dyDescent="0.3">
      <c r="A140" s="116" t="str">
        <f t="shared" si="12"/>
        <v>DVD</v>
      </c>
      <c r="B140" s="117">
        <f t="shared" si="13"/>
        <v>1.0115198691892693</v>
      </c>
      <c r="C140" s="117">
        <f t="shared" si="13"/>
        <v>0.98287517731032203</v>
      </c>
      <c r="D140" s="117">
        <f t="shared" si="13"/>
        <v>1.0636940099838041</v>
      </c>
      <c r="E140" s="117">
        <f t="shared" si="13"/>
        <v>0.88949637460026421</v>
      </c>
      <c r="F140" s="117">
        <f t="shared" si="13"/>
        <v>1</v>
      </c>
    </row>
    <row r="141" spans="1:6" ht="15.6" x14ac:dyDescent="0.3">
      <c r="A141" s="116" t="str">
        <f t="shared" si="12"/>
        <v>FN</v>
      </c>
      <c r="B141" s="117">
        <f t="shared" si="13"/>
        <v>1.1743522439353276</v>
      </c>
      <c r="C141" s="117">
        <f t="shared" si="13"/>
        <v>1.0625893239219617</v>
      </c>
      <c r="D141" s="117">
        <f t="shared" si="13"/>
        <v>0.92995986210695403</v>
      </c>
      <c r="E141" s="117">
        <f t="shared" si="13"/>
        <v>0.67943318398945884</v>
      </c>
      <c r="F141" s="117">
        <f t="shared" si="13"/>
        <v>1</v>
      </c>
    </row>
    <row r="142" spans="1:6" ht="15.6" x14ac:dyDescent="0.3">
      <c r="A142" s="116" t="str">
        <f t="shared" si="12"/>
        <v>DIV</v>
      </c>
      <c r="B142" s="117">
        <f t="shared" si="13"/>
        <v>0.92095805533465769</v>
      </c>
      <c r="C142" s="117">
        <f t="shared" si="13"/>
        <v>0.96868785648564637</v>
      </c>
      <c r="D142" s="117">
        <f t="shared" si="13"/>
        <v>1.1047077171647701</v>
      </c>
      <c r="E142" s="117">
        <f t="shared" si="13"/>
        <v>0.9991776458872571</v>
      </c>
      <c r="F142" s="117">
        <f t="shared" si="13"/>
        <v>1</v>
      </c>
    </row>
  </sheetData>
  <mergeCells count="14">
    <mergeCell ref="I38:M38"/>
    <mergeCell ref="B4:F4"/>
    <mergeCell ref="I4:M4"/>
    <mergeCell ref="B19:F19"/>
    <mergeCell ref="I21:M21"/>
    <mergeCell ref="B34:F34"/>
    <mergeCell ref="B118:F118"/>
    <mergeCell ref="B131:F131"/>
    <mergeCell ref="B48:F48"/>
    <mergeCell ref="I55:M55"/>
    <mergeCell ref="B62:F62"/>
    <mergeCell ref="B76:F76"/>
    <mergeCell ref="B90:F90"/>
    <mergeCell ref="B104:F10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Graphiques</vt:lpstr>
      </vt:variant>
      <vt:variant>
        <vt:i4>34</vt:i4>
      </vt:variant>
    </vt:vector>
  </HeadingPairs>
  <TitlesOfParts>
    <vt:vector size="39" baseType="lpstr">
      <vt:lpstr>ReadMe</vt:lpstr>
      <vt:lpstr>T1</vt:lpstr>
      <vt:lpstr>Data1</vt:lpstr>
      <vt:lpstr>Data2</vt:lpstr>
      <vt:lpstr>DataB1</vt:lpstr>
      <vt:lpstr>G1</vt:lpstr>
      <vt:lpstr>G2</vt:lpstr>
      <vt:lpstr>G3</vt:lpstr>
      <vt:lpstr>G4</vt:lpstr>
      <vt:lpstr>G5</vt:lpstr>
      <vt:lpstr>G6</vt:lpstr>
      <vt:lpstr>G7</vt:lpstr>
      <vt:lpstr>G8</vt:lpstr>
      <vt:lpstr>G9</vt:lpstr>
      <vt:lpstr>G10</vt:lpstr>
      <vt:lpstr>G11</vt:lpstr>
      <vt:lpstr>G12</vt:lpstr>
      <vt:lpstr>G13</vt:lpstr>
      <vt:lpstr>G14</vt:lpstr>
      <vt:lpstr>G15</vt:lpstr>
      <vt:lpstr>G16</vt:lpstr>
      <vt:lpstr>G17</vt:lpstr>
      <vt:lpstr>G18</vt:lpstr>
      <vt:lpstr>G19</vt:lpstr>
      <vt:lpstr>G20</vt:lpstr>
      <vt:lpstr>G21</vt:lpstr>
      <vt:lpstr>G22</vt:lpstr>
      <vt:lpstr>G23</vt:lpstr>
      <vt:lpstr>G24</vt:lpstr>
      <vt:lpstr>G25</vt:lpstr>
      <vt:lpstr>G26</vt:lpstr>
      <vt:lpstr>G27</vt:lpstr>
      <vt:lpstr>G28</vt:lpstr>
      <vt:lpstr>G29</vt:lpstr>
      <vt:lpstr>G30</vt:lpstr>
      <vt:lpstr>G31</vt:lpstr>
      <vt:lpstr>G32</vt:lpstr>
      <vt:lpstr>G33</vt:lpstr>
      <vt:lpstr>G34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2024-06-19T08:43:01Z</cp:lastPrinted>
  <dcterms:created xsi:type="dcterms:W3CDTF">2020-11-06T09:32:46Z</dcterms:created>
  <dcterms:modified xsi:type="dcterms:W3CDTF">2024-06-21T09:27:22Z</dcterms:modified>
</cp:coreProperties>
</file>